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2864" windowHeight="8580" tabRatio="686" activeTab="2"/>
  </bookViews>
  <sheets>
    <sheet name="Janvier" sheetId="4" r:id="rId1"/>
    <sheet name="Février" sheetId="5" r:id="rId2"/>
    <sheet name="Mars" sheetId="6" r:id="rId3"/>
    <sheet name="Avril" sheetId="7" r:id="rId4"/>
    <sheet name="Mai" sheetId="8" r:id="rId5"/>
    <sheet name="Juin" sheetId="9" r:id="rId6"/>
    <sheet name="Juillet" sheetId="10" r:id="rId7"/>
    <sheet name="Août" sheetId="11" r:id="rId8"/>
    <sheet name="Septembre" sheetId="12" r:id="rId9"/>
    <sheet name="Octobre" sheetId="14" r:id="rId10"/>
    <sheet name="Novembre" sheetId="13" r:id="rId11"/>
    <sheet name="Décembre" sheetId="15" r:id="rId12"/>
  </sheets>
  <definedNames>
    <definedName name="CalendrierAnnée">Janvier!$AG$2</definedName>
    <definedName name="CléCongés">Janvier!$G$12</definedName>
    <definedName name="CléMaladie">Janvier!$O$12</definedName>
    <definedName name="CléPersonnalisée1">Janvier!$S$12</definedName>
    <definedName name="CléPersonnalisée2">Janvier!$W$12</definedName>
    <definedName name="CléPersonnelle">Janvier!$K$12</definedName>
    <definedName name="ÉtiquetteCléCongés">Janvier!$H$12</definedName>
    <definedName name="ÉtiquetteCléMaladie">Janvier!$P$12</definedName>
    <definedName name="ÉtiquetteCléPersonnalisée1">Janvier!$T$12</definedName>
    <definedName name="ÉtiquetteCléPersonnalisée2">Janvier!$X$12</definedName>
    <definedName name="ÉtiquetteCléPersonnelle">Janvier!$L$12</definedName>
    <definedName name="NomMois" localSheetId="7">Août!$A$2</definedName>
    <definedName name="NomMois" localSheetId="3">Avril!$A$2</definedName>
    <definedName name="NomMois" localSheetId="11">Décembre!$A$2</definedName>
    <definedName name="NomMois" localSheetId="1">Février!$A$2</definedName>
    <definedName name="NomMois" localSheetId="0">Janvier!$A$2</definedName>
    <definedName name="NomMois" localSheetId="6">Juillet!$A$2</definedName>
    <definedName name="NomMois" localSheetId="5">Juin!$A$2</definedName>
    <definedName name="NomMois" localSheetId="4">Mai!$A$2</definedName>
    <definedName name="NomMois" localSheetId="2">Mars!$A$2</definedName>
    <definedName name="NomMois" localSheetId="10">Novembre!$A$2</definedName>
    <definedName name="NomMois" localSheetId="9">Octobre!$A$2</definedName>
    <definedName name="NomMois" localSheetId="8">Septembre!$A$2</definedName>
  </definedNames>
  <calcPr calcId="152511"/>
</workbook>
</file>

<file path=xl/calcChain.xml><?xml version="1.0" encoding="utf-8"?>
<calcChain xmlns="http://schemas.openxmlformats.org/spreadsheetml/2006/main">
  <c r="X12" i="13" l="1"/>
  <c r="AG10" i="15"/>
  <c r="AG10" i="14"/>
  <c r="AG10" i="12"/>
  <c r="AG10" i="11"/>
  <c r="AG10" i="10"/>
  <c r="AG10" i="9"/>
  <c r="AG10" i="8"/>
  <c r="AG10" i="7"/>
  <c r="AG10" i="6"/>
  <c r="AG10" i="5"/>
  <c r="AG10" i="4"/>
  <c r="AG10" i="13"/>
  <c r="AG5" i="7" l="1"/>
  <c r="AG6" i="7"/>
  <c r="AG7" i="7"/>
  <c r="AG8" i="7"/>
  <c r="AG9" i="7"/>
  <c r="B3" i="4" l="1"/>
  <c r="Z3" i="7" l="1"/>
  <c r="AD3" i="5"/>
  <c r="AF3" i="15" l="1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B3" i="15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  <c r="AF3" i="14"/>
  <c r="AE3" i="14"/>
  <c r="AD3" i="14"/>
  <c r="AC3" i="14"/>
  <c r="AB3" i="14"/>
  <c r="AA3" i="14"/>
  <c r="Z3" i="14"/>
  <c r="Y3" i="14"/>
  <c r="X3" i="14"/>
  <c r="W3" i="14"/>
  <c r="V3" i="14"/>
  <c r="U3" i="14"/>
  <c r="T3" i="14"/>
  <c r="S3" i="14"/>
  <c r="R3" i="14"/>
  <c r="Q3" i="14"/>
  <c r="P3" i="14"/>
  <c r="O3" i="14"/>
  <c r="N3" i="14"/>
  <c r="M3" i="14"/>
  <c r="L3" i="14"/>
  <c r="K3" i="14"/>
  <c r="J3" i="14"/>
  <c r="I3" i="14"/>
  <c r="H3" i="14"/>
  <c r="G3" i="14"/>
  <c r="F3" i="14"/>
  <c r="E3" i="14"/>
  <c r="D3" i="14"/>
  <c r="C3" i="14"/>
  <c r="B3" i="14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E3" i="7"/>
  <c r="AD3" i="7"/>
  <c r="AC3" i="7"/>
  <c r="AB3" i="7"/>
  <c r="AA3" i="7"/>
  <c r="Y3" i="7"/>
  <c r="X3" i="7"/>
  <c r="W3" i="7"/>
  <c r="V3" i="7"/>
  <c r="U3" i="7"/>
  <c r="T3" i="7"/>
  <c r="S3" i="7"/>
  <c r="R3" i="7"/>
  <c r="Q3" i="7"/>
  <c r="P3" i="7"/>
  <c r="N3" i="7"/>
  <c r="O3" i="7"/>
  <c r="M3" i="7"/>
  <c r="L3" i="7"/>
  <c r="K3" i="7"/>
  <c r="J3" i="7"/>
  <c r="I3" i="7"/>
  <c r="H3" i="7"/>
  <c r="G3" i="7"/>
  <c r="F3" i="7"/>
  <c r="E3" i="7"/>
  <c r="D3" i="7"/>
  <c r="C3" i="7"/>
  <c r="B3" i="7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C3" i="5" l="1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W12" i="6" l="1"/>
  <c r="W12" i="7"/>
  <c r="W12" i="8"/>
  <c r="W12" i="9"/>
  <c r="W12" i="10"/>
  <c r="W12" i="11"/>
  <c r="W12" i="12"/>
  <c r="W12" i="14"/>
  <c r="W12" i="15"/>
  <c r="W12" i="5"/>
  <c r="S12" i="6"/>
  <c r="S12" i="7"/>
  <c r="S12" i="8"/>
  <c r="S12" i="9"/>
  <c r="S12" i="10"/>
  <c r="S12" i="11"/>
  <c r="S12" i="12"/>
  <c r="S12" i="14"/>
  <c r="S12" i="13"/>
  <c r="S12" i="15"/>
  <c r="S12" i="5"/>
  <c r="X12" i="6" l="1"/>
  <c r="X12" i="7"/>
  <c r="X12" i="8"/>
  <c r="X12" i="9"/>
  <c r="X12" i="10"/>
  <c r="X12" i="11"/>
  <c r="X12" i="12"/>
  <c r="X12" i="14"/>
  <c r="X12" i="15"/>
  <c r="X12" i="5"/>
  <c r="T12" i="6"/>
  <c r="T12" i="7"/>
  <c r="T12" i="8"/>
  <c r="T12" i="9"/>
  <c r="T12" i="10"/>
  <c r="T12" i="11"/>
  <c r="T12" i="12"/>
  <c r="T12" i="14"/>
  <c r="T12" i="13"/>
  <c r="T12" i="15"/>
  <c r="T12" i="5"/>
  <c r="P12" i="6"/>
  <c r="P12" i="7"/>
  <c r="P12" i="8"/>
  <c r="P12" i="9"/>
  <c r="P12" i="10"/>
  <c r="P12" i="11"/>
  <c r="P12" i="12"/>
  <c r="P12" i="14"/>
  <c r="P12" i="13"/>
  <c r="P12" i="15"/>
  <c r="P12" i="5"/>
  <c r="L12" i="6"/>
  <c r="L12" i="7"/>
  <c r="L12" i="8"/>
  <c r="L12" i="9"/>
  <c r="L12" i="10"/>
  <c r="L12" i="11"/>
  <c r="L12" i="12"/>
  <c r="L12" i="14"/>
  <c r="L12" i="13"/>
  <c r="L12" i="15"/>
  <c r="L12" i="5"/>
  <c r="H12" i="6"/>
  <c r="H12" i="7"/>
  <c r="H12" i="8"/>
  <c r="H12" i="9"/>
  <c r="H12" i="10"/>
  <c r="H12" i="11"/>
  <c r="H12" i="12"/>
  <c r="H12" i="14"/>
  <c r="H12" i="13"/>
  <c r="H12" i="15"/>
  <c r="H12" i="5"/>
  <c r="O12" i="7"/>
  <c r="O12" i="8"/>
  <c r="O12" i="9"/>
  <c r="O12" i="10"/>
  <c r="O12" i="11"/>
  <c r="O12" i="12"/>
  <c r="O12" i="14"/>
  <c r="O12" i="13"/>
  <c r="O12" i="15"/>
  <c r="O12" i="6"/>
  <c r="K12" i="7"/>
  <c r="K12" i="8"/>
  <c r="K12" i="9"/>
  <c r="K12" i="10"/>
  <c r="K12" i="11"/>
  <c r="K12" i="12"/>
  <c r="K12" i="14"/>
  <c r="K12" i="13"/>
  <c r="K12" i="15"/>
  <c r="K12" i="6"/>
  <c r="G12" i="7"/>
  <c r="G12" i="8"/>
  <c r="G12" i="9"/>
  <c r="G12" i="10"/>
  <c r="G12" i="11"/>
  <c r="G12" i="12"/>
  <c r="G12" i="14"/>
  <c r="G12" i="13"/>
  <c r="G12" i="15"/>
  <c r="G12" i="6"/>
  <c r="G12" i="5"/>
  <c r="K12" i="5"/>
  <c r="O12" i="5"/>
  <c r="B12" i="15" l="1"/>
  <c r="AG9" i="15"/>
  <c r="AG8" i="15"/>
  <c r="AG7" i="15"/>
  <c r="AG6" i="15"/>
  <c r="AG5" i="15"/>
  <c r="AG2" i="15"/>
  <c r="B12" i="14"/>
  <c r="AG9" i="14"/>
  <c r="AG8" i="14"/>
  <c r="AG7" i="14"/>
  <c r="AG6" i="14"/>
  <c r="AG5" i="14"/>
  <c r="AG2" i="14"/>
  <c r="B12" i="13"/>
  <c r="AG9" i="13"/>
  <c r="AG8" i="13"/>
  <c r="AG7" i="13"/>
  <c r="AG6" i="13"/>
  <c r="AG5" i="13"/>
  <c r="AG2" i="13"/>
  <c r="B12" i="12"/>
  <c r="AG9" i="12"/>
  <c r="AG8" i="12"/>
  <c r="AG7" i="12"/>
  <c r="AG6" i="12"/>
  <c r="AG5" i="12"/>
  <c r="AG2" i="12"/>
  <c r="B12" i="11"/>
  <c r="AG9" i="11"/>
  <c r="AG8" i="11"/>
  <c r="AG7" i="11"/>
  <c r="AG6" i="11"/>
  <c r="AG5" i="11"/>
  <c r="AG2" i="11"/>
  <c r="B12" i="10"/>
  <c r="AG9" i="10"/>
  <c r="AG8" i="10"/>
  <c r="AG7" i="10"/>
  <c r="AG6" i="10"/>
  <c r="AG5" i="10"/>
  <c r="AG2" i="10"/>
  <c r="B12" i="9"/>
  <c r="AG9" i="9"/>
  <c r="AG8" i="9"/>
  <c r="AG7" i="9"/>
  <c r="AG6" i="9"/>
  <c r="AG5" i="9"/>
  <c r="AG2" i="9"/>
  <c r="B12" i="8"/>
  <c r="AG9" i="8"/>
  <c r="AG8" i="8"/>
  <c r="AG7" i="8"/>
  <c r="AG6" i="8"/>
  <c r="AG5" i="8"/>
  <c r="AG2" i="8"/>
  <c r="B12" i="7"/>
  <c r="AG2" i="7"/>
  <c r="B12" i="6"/>
  <c r="AG9" i="6"/>
  <c r="AG8" i="6"/>
  <c r="AG7" i="6"/>
  <c r="AG6" i="6"/>
  <c r="AG5" i="6"/>
  <c r="AG2" i="6"/>
  <c r="AG9" i="5" l="1"/>
  <c r="AG8" i="5"/>
  <c r="AG7" i="5"/>
  <c r="B12" i="5"/>
  <c r="AG2" i="5"/>
  <c r="AG9" i="4"/>
  <c r="AG8" i="4"/>
  <c r="AG7" i="4"/>
  <c r="AG6" i="5"/>
  <c r="AG5" i="5"/>
  <c r="AG5" i="4" l="1"/>
  <c r="AG6" i="4"/>
</calcChain>
</file>

<file path=xl/sharedStrings.xml><?xml version="1.0" encoding="utf-8"?>
<sst xmlns="http://schemas.openxmlformats.org/spreadsheetml/2006/main" count="662" uniqueCount="74">
  <si>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</si>
  <si>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</si>
  <si>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</si>
  <si>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</si>
  <si>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</si>
  <si>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</si>
  <si>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</si>
  <si>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</si>
  <si>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</si>
  <si>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</si>
  <si>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</si>
  <si>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</si>
  <si>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</si>
  <si>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</si>
  <si>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</si>
  <si>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</si>
  <si>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</si>
  <si>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</si>
  <si>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</si>
  <si>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</si>
  <si>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</si>
  <si>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</si>
  <si>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</si>
  <si>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</si>
  <si>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</si>
  <si>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</si>
  <si>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</si>
  <si>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</si>
  <si>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</si>
  <si>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</si>
  <si>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</si>
  <si>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Nombre total de jours</t>
  </si>
  <si>
    <t>M</t>
  </si>
  <si>
    <t xml:space="preserve"> </t>
  </si>
  <si>
    <t xml:space="preserve">  </t>
  </si>
  <si>
    <t>Janvier</t>
  </si>
  <si>
    <t>Personnalisé 2</t>
  </si>
  <si>
    <t>Clé de couleur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</si>
  <si>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</si>
  <si>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</si>
  <si>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</si>
  <si>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</si>
  <si>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</si>
  <si>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</si>
  <si>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</si>
  <si>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</si>
  <si>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</si>
  <si>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</si>
  <si>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</si>
  <si>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25m précision</t>
  </si>
  <si>
    <t>25m vitesse</t>
  </si>
  <si>
    <t>25m gong</t>
  </si>
  <si>
    <t>50/100m</t>
  </si>
  <si>
    <t>200m</t>
  </si>
  <si>
    <t>Planification des réservations des pas de tir</t>
  </si>
  <si>
    <t>Pas de tir</t>
  </si>
  <si>
    <t>Matin</t>
  </si>
  <si>
    <t>après-midi</t>
  </si>
  <si>
    <t>journée</t>
  </si>
  <si>
    <t>nuit</t>
  </si>
  <si>
    <t xml:space="preserve">    Ball trap</t>
  </si>
  <si>
    <t>AM</t>
  </si>
  <si>
    <t>J</t>
  </si>
  <si>
    <t>N</t>
  </si>
  <si>
    <t xml:space="preserve">Planification des réservations des pas de tir </t>
  </si>
  <si>
    <t>Concours Silhouettes</t>
  </si>
  <si>
    <t>PM Velaux</t>
  </si>
  <si>
    <t>Pénitentiaire Lyon</t>
  </si>
  <si>
    <t>Pénitentiaire  Lyon</t>
  </si>
  <si>
    <t>Bench rest</t>
  </si>
  <si>
    <t>T.A.R.</t>
  </si>
  <si>
    <t>Fun tir</t>
  </si>
  <si>
    <t>Championnat de France</t>
  </si>
  <si>
    <t>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</si>
</sst>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"/>
  </numFmts>
  <fonts count="24" x14ac:knownFonts="1">
    <font>
      <sz val="11"/>
      <color theme="1"/>
      <name val="Corbel"/>
      <family val="2"/>
      <scheme val="minor"/>
    </font>
    <font>
      <sz val="10"/>
      <name val="Century Gothic"/>
      <family val="2"/>
    </font>
    <font>
      <b/>
      <sz val="12"/>
      <name val="Arial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0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2"/>
      <name val="Corbel"/>
      <family val="2"/>
      <scheme val="major"/>
    </font>
    <font>
      <b/>
      <sz val="26"/>
      <color theme="3"/>
      <name val="Corbel"/>
      <family val="2"/>
      <scheme val="major"/>
    </font>
    <font>
      <sz val="9"/>
      <name val="Corbel"/>
      <family val="2"/>
      <scheme val="minor"/>
    </font>
    <font>
      <sz val="18"/>
      <color theme="3"/>
      <name val="Corbel"/>
      <family val="2"/>
      <scheme val="minor"/>
    </font>
    <font>
      <sz val="11"/>
      <color theme="1"/>
      <name val="Corbel"/>
      <family val="2"/>
      <scheme val="major"/>
    </font>
    <font>
      <sz val="10"/>
      <name val="Corbel"/>
      <family val="2"/>
      <scheme val="major"/>
    </font>
    <font>
      <b/>
      <sz val="18"/>
      <color theme="4" tint="-0.249977111117893"/>
      <name val="Corbel"/>
      <family val="2"/>
      <scheme val="major"/>
    </font>
    <font>
      <b/>
      <sz val="16"/>
      <color theme="4" tint="-0.249977111117893"/>
      <name val="Corbel"/>
      <family val="2"/>
      <scheme val="major"/>
    </font>
    <font>
      <b/>
      <sz val="18"/>
      <color theme="4" tint="-0.249977111117893"/>
      <name val="Corbel"/>
      <family val="2"/>
      <scheme val="minor"/>
    </font>
    <font>
      <sz val="10.5"/>
      <color theme="1"/>
      <name val="Corbel"/>
      <family val="2"/>
      <scheme val="minor"/>
    </font>
    <font>
      <b/>
      <i/>
      <strike/>
      <condense/>
      <extend/>
      <outline/>
      <shadow/>
      <sz val="11"/>
      <color theme="1"/>
      <name val="Corbel"/>
      <family val="2"/>
      <scheme val="minor"/>
    </font>
    <font>
      <outline/>
      <shadow/>
      <sz val="11"/>
      <color theme="1"/>
      <name val="Corbel"/>
      <family val="2"/>
      <scheme val="minor"/>
    </font>
    <font>
      <sz val="11"/>
      <color theme="1"/>
      <name val="Arial"/>
      <family val="2"/>
    </font>
    <font>
      <b/>
      <i/>
      <condense/>
      <extend/>
      <outline/>
      <shadow/>
      <sz val="11"/>
      <color theme="1"/>
      <name val="Corbel"/>
      <family val="2"/>
      <scheme val="minor"/>
    </font>
    <font>
      <b/>
      <outline/>
      <shadow/>
      <sz val="11"/>
      <color theme="1"/>
      <name val="Corbe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164" fontId="7" fillId="5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164" fontId="7" fillId="8" borderId="0" xfId="0" applyNumberFormat="1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49" fontId="10" fillId="0" borderId="0" xfId="1" applyNumberFormat="1" applyFill="1" applyBorder="1" applyAlignment="1">
      <alignment vertical="top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49" fontId="0" fillId="0" borderId="0" xfId="0" applyNumberFormat="1" applyAlignment="1">
      <alignment horizontal="left" vertical="center" indent="1"/>
    </xf>
    <xf numFmtId="164" fontId="0" fillId="9" borderId="0" xfId="0" applyNumberFormat="1" applyFill="1" applyAlignment="1">
      <alignment horizontal="left" vertical="center"/>
    </xf>
    <xf numFmtId="0" fontId="1" fillId="9" borderId="0" xfId="0" applyFont="1" applyFill="1" applyAlignment="1">
      <alignment vertical="center"/>
    </xf>
    <xf numFmtId="164" fontId="0" fillId="9" borderId="0" xfId="0" applyNumberFormat="1" applyFill="1" applyAlignment="1">
      <alignment horizontal="center" vertical="center"/>
    </xf>
    <xf numFmtId="164" fontId="8" fillId="10" borderId="0" xfId="0" applyNumberFormat="1" applyFont="1" applyFill="1" applyAlignment="1">
      <alignment vertical="center"/>
    </xf>
    <xf numFmtId="164" fontId="0" fillId="10" borderId="0" xfId="0" applyNumberFormat="1" applyFill="1" applyAlignment="1">
      <alignment horizontal="center" vertical="center"/>
    </xf>
    <xf numFmtId="164" fontId="18" fillId="9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 vertical="center" wrapText="1" indent="2"/>
    </xf>
    <xf numFmtId="0" fontId="21" fillId="0" borderId="0" xfId="0" applyFont="1" applyAlignment="1">
      <alignment horizontal="left" vertical="center" indent="1"/>
    </xf>
    <xf numFmtId="49" fontId="13" fillId="0" borderId="0" xfId="0" applyNumberFormat="1" applyFont="1" applyAlignment="1">
      <alignment horizontal="left" vertical="center" indent="1"/>
    </xf>
    <xf numFmtId="164" fontId="7" fillId="11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indent="2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" fontId="15" fillId="2" borderId="0" xfId="0" applyNumberFormat="1" applyFont="1" applyFill="1" applyAlignment="1">
      <alignment horizontal="left" vertical="center" indent="1"/>
    </xf>
    <xf numFmtId="0" fontId="17" fillId="2" borderId="0" xfId="2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center"/>
    </xf>
    <xf numFmtId="0" fontId="17" fillId="2" borderId="0" xfId="2" applyFont="1" applyFill="1" applyBorder="1" applyAlignment="1">
      <alignment horizontal="right" vertical="center" indent="1"/>
    </xf>
    <xf numFmtId="0" fontId="0" fillId="0" borderId="6" xfId="0" applyBorder="1"/>
  </cellXfs>
  <cellStyles count="5">
    <cellStyle name="Normal" xfId="0" builtinId="0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</cellStyles>
  <dxfs count="8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/>
        <strike/>
        <condense/>
        <extend/>
        <outline/>
        <shadow/>
        <u val="none"/>
        <vertAlign val="baseline"/>
        <sz val="11"/>
        <color theme="1"/>
        <name val="Corbe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border>
        <vertical/>
        <horizontal/>
      </border>
    </dxf>
    <dxf>
      <font>
        <color theme="3"/>
      </font>
      <border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minor"/>
      </font>
      <numFmt numFmtId="164" formatCode="0;0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center" textRotation="0" wrapText="1" indent="2" justifyLastLine="0" shrinkToFit="0" readingOrder="0"/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7"/>
        </patternFill>
      </fill>
    </dxf>
    <dxf>
      <font>
        <color theme="0"/>
      </font>
      <fill>
        <patternFill>
          <bgColor theme="8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medium">
          <color theme="2" tint="-0.499984740745262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3743705557422"/>
        </top>
        <bottom style="thin">
          <color theme="0" tint="-0.14996795556505021"/>
        </bottom>
        <vertical/>
        <horizontal style="thin">
          <color theme="0" tint="-0.14993743705557422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0.14996795556505021"/>
        </patternFill>
      </fill>
    </dxf>
    <dxf>
      <fill>
        <patternFill patternType="solid">
          <fgColor theme="4" tint="0.79992065187536243"/>
          <bgColor theme="0" tint="-4.9989318521683403E-2"/>
        </patternFill>
      </fill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2" tint="-9.9917600024414813E-2"/>
        </top>
        <bottom style="thin">
          <color theme="2" tint="-9.9948118533890809E-2"/>
        </bottom>
        <vertical/>
        <horizontal style="thin">
          <color theme="2" tint="-9.9917600024414813E-2"/>
        </horizontal>
      </border>
    </dxf>
    <dxf>
      <font>
        <color theme="1"/>
      </font>
      <fill>
        <patternFill>
          <bgColor theme="2" tint="-0.24994659260841701"/>
        </patternFill>
      </fill>
      <border diagonalUp="0" diagonalDown="0">
        <left style="thin">
          <color theme="0"/>
        </left>
        <right style="thin">
          <color theme="0"/>
        </right>
        <top/>
        <bottom style="medium">
          <color theme="2" tint="-0.499984740745262"/>
        </bottom>
        <vertical style="thin">
          <color theme="0"/>
        </vertical>
        <horizontal/>
      </border>
    </dxf>
    <dxf>
      <font>
        <color theme="0"/>
      </font>
      <fill>
        <patternFill>
          <bgColor theme="3"/>
        </patternFill>
      </fill>
    </dxf>
    <dxf>
      <font>
        <color theme="4" tint="-0.249977111117893"/>
      </font>
      <border diagonalUp="0" diagonalDown="0">
        <left/>
        <right/>
        <top/>
        <bottom/>
        <vertical style="thin">
          <color theme="0"/>
        </vertical>
        <horizontal/>
      </border>
    </dxf>
  </dxfs>
  <tableStyles count="1" defaultTableStyle="TableStyleMedium2" defaultPivotStyle="PivotStyleLight16">
    <tableStyle name="Employee Absence Table" pivot="0" count="13">
      <tableStyleElement type="wholeTable" dxfId="842"/>
      <tableStyleElement type="headerRow" dxfId="841"/>
      <tableStyleElement type="totalRow" dxfId="840"/>
      <tableStyleElement type="firstColumn" dxfId="839"/>
      <tableStyleElement type="lastColumn" dxfId="838"/>
      <tableStyleElement type="firstRowStripe" dxfId="837"/>
      <tableStyleElement type="secondRowStripe" dxfId="836"/>
      <tableStyleElement type="firstColumnStripe" dxfId="835"/>
      <tableStyleElement type="secondColumnStripe" dxfId="834"/>
      <tableStyleElement type="firstHeaderCell" dxfId="833"/>
      <tableStyleElement type="lastHeaderCell" dxfId="832"/>
      <tableStyleElement type="firstTotalCell" dxfId="831"/>
      <tableStyleElement type="lastTotalCell" dxfId="8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476250</xdr:colOff>
      <xdr:row>0</xdr:row>
      <xdr:rowOff>600075</xdr:rowOff>
    </xdr:from>
    <xdr:to>
      <xdr:col>33</xdr:col>
      <xdr:colOff>552450</xdr:colOff>
      <xdr:row>1</xdr:row>
      <xdr:rowOff>171450</xdr:rowOff>
    </xdr:to>
    <xdr:sp macro="" textlink="">
      <xdr:nvSpPr>
        <xdr:cNvPr id="3" name="Note d’entrée de données" descr="Entrer l’année : tapez l’année dans la cellule AG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0391775" y="600075"/>
          <a:ext cx="14478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accent1">
                  <a:lumMod val="75000"/>
                </a:schemeClr>
              </a:solidFill>
            </a:rPr>
            <a:t>Entrer l’année :	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3" name="tblJanvier" displayName="tblJanvier" ref="A4:AG10" totalsRowShown="0">
  <tableColumns count="33">
    <tableColumn id="1" name="Pas de tir" dataDxfId="824"/>
    <tableColumn id="2" name="1" dataDxfId="823" totalsRowDxfId="822"/>
    <tableColumn id="3" name="2" dataDxfId="821" totalsRowDxfId="820"/>
    <tableColumn id="4" name="3" dataDxfId="819" totalsRowDxfId="818"/>
    <tableColumn id="5" name="4" dataDxfId="817" totalsRowDxfId="816"/>
    <tableColumn id="6" name="5" dataDxfId="815" totalsRowDxfId="814"/>
    <tableColumn id="7" name="6" dataDxfId="813" totalsRowDxfId="812"/>
    <tableColumn id="8" name="7" dataDxfId="811" totalsRowDxfId="810"/>
    <tableColumn id="9" name="8" dataDxfId="809" totalsRowDxfId="808"/>
    <tableColumn id="10" name="9" dataDxfId="807" totalsRowDxfId="806"/>
    <tableColumn id="11" name="10" dataDxfId="805" totalsRowDxfId="804"/>
    <tableColumn id="12" name="11" dataDxfId="803" totalsRowDxfId="802"/>
    <tableColumn id="13" name="12" dataDxfId="801" totalsRowDxfId="800"/>
    <tableColumn id="14" name="13" dataDxfId="799" totalsRowDxfId="798"/>
    <tableColumn id="15" name="14" dataDxfId="797" totalsRowDxfId="796"/>
    <tableColumn id="16" name="15" dataDxfId="795" totalsRowDxfId="794"/>
    <tableColumn id="17" name="16" dataDxfId="793" totalsRowDxfId="792"/>
    <tableColumn id="18" name="17" dataDxfId="791" totalsRowDxfId="790"/>
    <tableColumn id="19" name="18" dataDxfId="789" totalsRowDxfId="788"/>
    <tableColumn id="20" name="19" dataDxfId="787" totalsRowDxfId="786"/>
    <tableColumn id="21" name="20" dataDxfId="785" totalsRowDxfId="784"/>
    <tableColumn id="22" name="21" dataDxfId="783" totalsRowDxfId="782"/>
    <tableColumn id="23" name="22" dataDxfId="781" totalsRowDxfId="780"/>
    <tableColumn id="24" name="23" dataDxfId="779" totalsRowDxfId="778"/>
    <tableColumn id="25" name="24" dataDxfId="777" totalsRowDxfId="776"/>
    <tableColumn id="26" name="25" dataDxfId="775" totalsRowDxfId="774"/>
    <tableColumn id="27" name="26" dataDxfId="773" totalsRowDxfId="772"/>
    <tableColumn id="28" name="27" dataDxfId="771" totalsRowDxfId="770"/>
    <tableColumn id="29" name="28" dataDxfId="769" totalsRowDxfId="768"/>
    <tableColumn id="30" name="29" dataDxfId="767" totalsRowDxfId="766"/>
    <tableColumn id="31" name="30" dataDxfId="765" totalsRowDxfId="764"/>
    <tableColumn id="32" name="31" dataDxfId="763" totalsRowDxfId="762"/>
    <tableColumn id="33" name="Nombre total de jours" totalsRowDxfId="761">
      <calculatedColumnFormula>COUNTA(tblJanvier[[#This Row],[1]:[31]])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janvier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10.xml><?xml version="1.0" encoding="utf-8"?>
<table xmlns="http://schemas.openxmlformats.org/spreadsheetml/2006/main" id="11" name="tblOctobre" displayName="tblOctobre" ref="A4:AG10" totalsRowShown="0">
  <tableColumns count="33">
    <tableColumn id="1" name="Pas de tir" dataDxfId="201"/>
    <tableColumn id="2" name="1" dataDxfId="200" totalsRowDxfId="199"/>
    <tableColumn id="3" name="2" dataDxfId="198" totalsRowDxfId="197"/>
    <tableColumn id="4" name="3" dataDxfId="196" totalsRowDxfId="195"/>
    <tableColumn id="5" name="4" dataDxfId="194" totalsRowDxfId="193"/>
    <tableColumn id="6" name="5" dataDxfId="192" totalsRowDxfId="191"/>
    <tableColumn id="7" name="6" dataDxfId="190" totalsRowDxfId="189"/>
    <tableColumn id="8" name="7" dataDxfId="188" totalsRowDxfId="187"/>
    <tableColumn id="9" name="8" dataDxfId="186" totalsRowDxfId="185"/>
    <tableColumn id="10" name="9" dataDxfId="184" totalsRowDxfId="183"/>
    <tableColumn id="11" name="10" dataDxfId="182" totalsRowDxfId="181"/>
    <tableColumn id="12" name="11" dataDxfId="180" totalsRowDxfId="179"/>
    <tableColumn id="13" name="12" dataDxfId="178" totalsRowDxfId="177"/>
    <tableColumn id="14" name="13" dataDxfId="176" totalsRowDxfId="175"/>
    <tableColumn id="15" name="14" dataDxfId="174" totalsRowDxfId="173"/>
    <tableColumn id="16" name="15" dataDxfId="172" totalsRowDxfId="171"/>
    <tableColumn id="17" name="16" dataDxfId="170" totalsRowDxfId="169"/>
    <tableColumn id="18" name="17" dataDxfId="168" totalsRowDxfId="167"/>
    <tableColumn id="19" name="18" dataDxfId="166" totalsRowDxfId="165"/>
    <tableColumn id="20" name="19" dataDxfId="164" totalsRowDxfId="163"/>
    <tableColumn id="21" name="20" dataDxfId="162" totalsRowDxfId="161"/>
    <tableColumn id="22" name="21" dataDxfId="160" totalsRowDxfId="159"/>
    <tableColumn id="23" name="22" dataDxfId="158" totalsRowDxfId="157"/>
    <tableColumn id="24" name="23" dataDxfId="156" totalsRowDxfId="155"/>
    <tableColumn id="25" name="24" dataDxfId="154" totalsRowDxfId="153"/>
    <tableColumn id="26" name="25" dataDxfId="152" totalsRowDxfId="151"/>
    <tableColumn id="27" name="26" dataDxfId="150" totalsRowDxfId="149"/>
    <tableColumn id="28" name="27" dataDxfId="148" totalsRowDxfId="147"/>
    <tableColumn id="29" name="28" dataDxfId="146" totalsRowDxfId="145"/>
    <tableColumn id="30" name="29" dataDxfId="144" totalsRowDxfId="143"/>
    <tableColumn id="31" name="30" dataDxfId="142" totalsRowDxfId="141"/>
    <tableColumn id="32" name="31" dataDxfId="140" totalsRowDxfId="139"/>
    <tableColumn id="33" name="Nombre total de jours" totalsRowDxfId="138">
      <calculatedColumnFormula>COUNTA(tblOctobre[[#This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octobre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11.xml><?xml version="1.0" encoding="utf-8"?>
<table xmlns="http://schemas.openxmlformats.org/spreadsheetml/2006/main" id="10" name="tblNovembre" displayName="tblNovembre" ref="A4:AG10" totalsRowShown="0">
  <tableColumns count="33">
    <tableColumn id="1" name="Pas de tir" dataDxfId="132"/>
    <tableColumn id="2" name="1" dataDxfId="131" totalsRowDxfId="130"/>
    <tableColumn id="3" name="2" dataDxfId="129" totalsRowDxfId="128"/>
    <tableColumn id="4" name="3" dataDxfId="127" totalsRowDxfId="126"/>
    <tableColumn id="5" name="4" dataDxfId="125" totalsRowDxfId="124"/>
    <tableColumn id="6" name="5" dataDxfId="123" totalsRowDxfId="122"/>
    <tableColumn id="7" name="6" dataDxfId="121" totalsRowDxfId="120"/>
    <tableColumn id="8" name="7" dataDxfId="119" totalsRowDxfId="118"/>
    <tableColumn id="9" name="8" dataDxfId="117" totalsRowDxfId="116"/>
    <tableColumn id="10" name="9" dataDxfId="115" totalsRowDxfId="114"/>
    <tableColumn id="11" name="10" dataDxfId="113" totalsRowDxfId="112"/>
    <tableColumn id="12" name="11" dataDxfId="111" totalsRowDxfId="110"/>
    <tableColumn id="13" name="12" dataDxfId="109" totalsRowDxfId="108"/>
    <tableColumn id="14" name="13" dataDxfId="107" totalsRowDxfId="106"/>
    <tableColumn id="15" name="14" dataDxfId="105" totalsRowDxfId="104"/>
    <tableColumn id="16" name="15" dataDxfId="103" totalsRowDxfId="102"/>
    <tableColumn id="17" name="16" dataDxfId="101" totalsRowDxfId="100"/>
    <tableColumn id="18" name="17" dataDxfId="99" totalsRowDxfId="98"/>
    <tableColumn id="19" name="18" dataDxfId="97" totalsRowDxfId="96"/>
    <tableColumn id="20" name="19" dataDxfId="95" totalsRowDxfId="94"/>
    <tableColumn id="21" name="20" dataDxfId="93" totalsRowDxfId="92"/>
    <tableColumn id="22" name="21" dataDxfId="91" totalsRowDxfId="90"/>
    <tableColumn id="23" name="22" dataDxfId="89" totalsRowDxfId="88"/>
    <tableColumn id="24" name="23" dataDxfId="87" totalsRowDxfId="86"/>
    <tableColumn id="25" name="24" dataDxfId="85" totalsRowDxfId="84"/>
    <tableColumn id="26" name="25" dataDxfId="83" totalsRowDxfId="82"/>
    <tableColumn id="27" name="26" dataDxfId="81" totalsRowDxfId="80"/>
    <tableColumn id="28" name="27" dataDxfId="79" totalsRowDxfId="78"/>
    <tableColumn id="29" name="28" dataDxfId="77" totalsRowDxfId="76"/>
    <tableColumn id="30" name="29" dataDxfId="75" totalsRowDxfId="74"/>
    <tableColumn id="31" name="30" dataDxfId="73" totalsRowDxfId="72"/>
    <tableColumn id="32" name=" " dataDxfId="71" totalsRowDxfId="70"/>
    <tableColumn id="33" name="Nombre total de jours" totalsRowDxfId="69">
      <calculatedColumnFormula>COUNTA(tblNovembre[[#This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novembre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12.xml><?xml version="1.0" encoding="utf-8"?>
<table xmlns="http://schemas.openxmlformats.org/spreadsheetml/2006/main" id="12" name="tblDécembre" displayName="tblDécembre" ref="A4:AG10" totalsRowShown="0">
  <tableColumns count="33">
    <tableColumn id="1" name="Pas de tir" dataDxfId="63"/>
    <tableColumn id="2" name="1" dataDxfId="62" totalsRowDxfId="61"/>
    <tableColumn id="3" name="2" dataDxfId="60" totalsRowDxfId="59"/>
    <tableColumn id="4" name="3" dataDxfId="58" totalsRowDxfId="57"/>
    <tableColumn id="5" name="4" dataDxfId="56" totalsRowDxfId="55"/>
    <tableColumn id="6" name="5" dataDxfId="54" totalsRowDxfId="53"/>
    <tableColumn id="7" name="6" dataDxfId="52" totalsRowDxfId="51"/>
    <tableColumn id="8" name="7" dataDxfId="50" totalsRowDxfId="49"/>
    <tableColumn id="9" name="8" dataDxfId="48" totalsRowDxfId="47"/>
    <tableColumn id="10" name="9" dataDxfId="46" totalsRowDxfId="45"/>
    <tableColumn id="11" name="10" dataDxfId="44" totalsRowDxfId="43"/>
    <tableColumn id="12" name="11" dataDxfId="42" totalsRowDxfId="41"/>
    <tableColumn id="13" name="12" dataDxfId="40" totalsRowDxfId="39"/>
    <tableColumn id="14" name="13" dataDxfId="38" totalsRowDxfId="37"/>
    <tableColumn id="15" name="14" dataDxfId="36" totalsRowDxfId="35"/>
    <tableColumn id="16" name="15" dataDxfId="34" totalsRowDxfId="33"/>
    <tableColumn id="17" name="16" dataDxfId="32" totalsRowDxfId="31"/>
    <tableColumn id="18" name="17" dataDxfId="30" totalsRowDxfId="29"/>
    <tableColumn id="19" name="18" dataDxfId="28" totalsRowDxfId="27"/>
    <tableColumn id="20" name="19" dataDxfId="26" totalsRowDxfId="25"/>
    <tableColumn id="21" name="20" dataDxfId="24" totalsRowDxfId="23"/>
    <tableColumn id="22" name="21" dataDxfId="22" totalsRowDxfId="21"/>
    <tableColumn id="23" name="22" dataDxfId="20" totalsRowDxfId="19"/>
    <tableColumn id="24" name="23" dataDxfId="18" totalsRowDxfId="17"/>
    <tableColumn id="25" name="24" dataDxfId="16" totalsRowDxfId="15"/>
    <tableColumn id="26" name="25" dataDxfId="14" totalsRowDxfId="13"/>
    <tableColumn id="27" name="26" dataDxfId="12" totalsRowDxfId="11"/>
    <tableColumn id="28" name="27" dataDxfId="10" totalsRowDxfId="9"/>
    <tableColumn id="29" name="28" dataDxfId="8" totalsRowDxfId="7"/>
    <tableColumn id="30" name="29" dataDxfId="6" totalsRowDxfId="5"/>
    <tableColumn id="31" name="30" dataDxfId="4" totalsRowDxfId="3"/>
    <tableColumn id="32" name="31" dataDxfId="2" totalsRowDxfId="1"/>
    <tableColumn id="33" name="Nombre total de jours" totalsRowDxfId="0">
      <calculatedColumnFormula>COUNTA(tblDécembre[[#This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décembre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2.xml><?xml version="1.0" encoding="utf-8"?>
<table xmlns="http://schemas.openxmlformats.org/spreadsheetml/2006/main" id="2" name="tblFévrier" displayName="tblFévrier" ref="A4:AG10" totalsRowShown="0">
  <tableColumns count="33">
    <tableColumn id="1" name="Pas de tir" dataDxfId="753"/>
    <tableColumn id="2" name="1" dataDxfId="752" totalsRowDxfId="751"/>
    <tableColumn id="3" name="2" dataDxfId="750" totalsRowDxfId="749"/>
    <tableColumn id="4" name="3" dataDxfId="748" totalsRowDxfId="747"/>
    <tableColumn id="5" name="4" dataDxfId="746" totalsRowDxfId="745"/>
    <tableColumn id="6" name="5" dataDxfId="744" totalsRowDxfId="743"/>
    <tableColumn id="7" name="6" dataDxfId="742" totalsRowDxfId="741"/>
    <tableColumn id="8" name="7" dataDxfId="740" totalsRowDxfId="739"/>
    <tableColumn id="9" name="8" dataDxfId="738" totalsRowDxfId="737"/>
    <tableColumn id="10" name="9" dataDxfId="736" totalsRowDxfId="735"/>
    <tableColumn id="11" name="10" dataDxfId="734" totalsRowDxfId="733"/>
    <tableColumn id="12" name="11" dataDxfId="732" totalsRowDxfId="731"/>
    <tableColumn id="13" name="12" dataDxfId="730" totalsRowDxfId="729"/>
    <tableColumn id="14" name="13" dataDxfId="728" totalsRowDxfId="727"/>
    <tableColumn id="15" name="14" dataDxfId="726" totalsRowDxfId="725"/>
    <tableColumn id="16" name="15" dataDxfId="724" totalsRowDxfId="723"/>
    <tableColumn id="17" name="16" dataDxfId="722" totalsRowDxfId="721"/>
    <tableColumn id="18" name="17" dataDxfId="720" totalsRowDxfId="719"/>
    <tableColumn id="19" name="18" dataDxfId="718" totalsRowDxfId="717"/>
    <tableColumn id="20" name="19" dataDxfId="716" totalsRowDxfId="715"/>
    <tableColumn id="21" name="20" dataDxfId="714" totalsRowDxfId="713"/>
    <tableColumn id="22" name="21" dataDxfId="712" totalsRowDxfId="711"/>
    <tableColumn id="23" name="22" dataDxfId="710" totalsRowDxfId="709"/>
    <tableColumn id="24" name="23" dataDxfId="708" totalsRowDxfId="707"/>
    <tableColumn id="25" name="24" dataDxfId="706" totalsRowDxfId="705"/>
    <tableColumn id="26" name="25" dataDxfId="704" totalsRowDxfId="703"/>
    <tableColumn id="27" name="26" dataDxfId="702" totalsRowDxfId="701"/>
    <tableColumn id="28" name="27" dataDxfId="700" totalsRowDxfId="699"/>
    <tableColumn id="29" name="28" dataDxfId="698" totalsRowDxfId="697"/>
    <tableColumn id="30" name="29" dataDxfId="696" totalsRowDxfId="695"/>
    <tableColumn id="31" name=" " dataDxfId="694" totalsRowDxfId="693"/>
    <tableColumn id="32" name="  " dataDxfId="692" totalsRowDxfId="691"/>
    <tableColumn id="33" name="Nombre total de jours" totalsRowDxfId="690">
      <calculatedColumnFormula>COUNTA(tblFévrier[[#This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février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3.xml><?xml version="1.0" encoding="utf-8"?>
<table xmlns="http://schemas.openxmlformats.org/spreadsheetml/2006/main" id="1" name="tblMars" displayName="tblMars" ref="A4:AG10" totalsRowShown="0">
  <tableColumns count="33">
    <tableColumn id="1" name="Pas de tir" dataDxfId="684"/>
    <tableColumn id="2" name="1" dataDxfId="683" totalsRowDxfId="682"/>
    <tableColumn id="3" name="2" dataDxfId="681" totalsRowDxfId="680"/>
    <tableColumn id="4" name="3" dataDxfId="679" totalsRowDxfId="678"/>
    <tableColumn id="5" name="4" dataDxfId="677" totalsRowDxfId="676"/>
    <tableColumn id="6" name="5" dataDxfId="675" totalsRowDxfId="674"/>
    <tableColumn id="7" name="6" dataDxfId="673" totalsRowDxfId="672"/>
    <tableColumn id="8" name="7" dataDxfId="671" totalsRowDxfId="670"/>
    <tableColumn id="9" name="8" dataDxfId="669" totalsRowDxfId="668"/>
    <tableColumn id="10" name="9" dataDxfId="667" totalsRowDxfId="666"/>
    <tableColumn id="11" name="10" dataDxfId="665" totalsRowDxfId="664"/>
    <tableColumn id="12" name="11" dataDxfId="663" totalsRowDxfId="662"/>
    <tableColumn id="13" name="12" dataDxfId="661" totalsRowDxfId="660"/>
    <tableColumn id="14" name="13" dataDxfId="659" totalsRowDxfId="658"/>
    <tableColumn id="15" name="14" dataDxfId="657" totalsRowDxfId="656"/>
    <tableColumn id="16" name="15" dataDxfId="655" totalsRowDxfId="654"/>
    <tableColumn id="17" name="16" dataDxfId="653" totalsRowDxfId="652"/>
    <tableColumn id="18" name="17" dataDxfId="651" totalsRowDxfId="650"/>
    <tableColumn id="19" name="18" dataDxfId="649" totalsRowDxfId="648"/>
    <tableColumn id="20" name="19" dataDxfId="647" totalsRowDxfId="646"/>
    <tableColumn id="21" name="20" dataDxfId="645" totalsRowDxfId="644"/>
    <tableColumn id="22" name="21" dataDxfId="643" totalsRowDxfId="642"/>
    <tableColumn id="23" name="22" dataDxfId="641" totalsRowDxfId="640"/>
    <tableColumn id="24" name="23" dataDxfId="639" totalsRowDxfId="638"/>
    <tableColumn id="25" name="24" dataDxfId="637" totalsRowDxfId="636"/>
    <tableColumn id="26" name="25" dataDxfId="635" totalsRowDxfId="634"/>
    <tableColumn id="27" name="26" dataDxfId="633" totalsRowDxfId="632"/>
    <tableColumn id="28" name="27" dataDxfId="631" totalsRowDxfId="630"/>
    <tableColumn id="29" name="28" dataDxfId="629" totalsRowDxfId="628"/>
    <tableColumn id="30" name="29" dataDxfId="627" totalsRowDxfId="626"/>
    <tableColumn id="31" name="30" dataDxfId="625" totalsRowDxfId="624"/>
    <tableColumn id="32" name="31" dataDxfId="623" totalsRowDxfId="622"/>
    <tableColumn id="33" name="Nombre total de jours" totalsRowDxfId="621">
      <calculatedColumnFormula>COUNTA(tblMars[[#This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mars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4.xml><?xml version="1.0" encoding="utf-8"?>
<table xmlns="http://schemas.openxmlformats.org/spreadsheetml/2006/main" id="4" name="tblAvril" displayName="tblAvril" ref="A4:AG10" totalsRowShown="0">
  <tableColumns count="33">
    <tableColumn id="1" name="Pas de tir" dataDxfId="615"/>
    <tableColumn id="2" name="1" dataDxfId="614" totalsRowDxfId="613"/>
    <tableColumn id="3" name="2" dataDxfId="612" totalsRowDxfId="611"/>
    <tableColumn id="4" name="3" dataDxfId="610" totalsRowDxfId="609"/>
    <tableColumn id="5" name="4" dataDxfId="608" totalsRowDxfId="607"/>
    <tableColumn id="6" name="5" dataDxfId="606" totalsRowDxfId="605"/>
    <tableColumn id="7" name="6" dataDxfId="604" totalsRowDxfId="603"/>
    <tableColumn id="8" name="7" dataDxfId="602" totalsRowDxfId="601"/>
    <tableColumn id="9" name="8" dataDxfId="600" totalsRowDxfId="599"/>
    <tableColumn id="10" name="9" dataDxfId="598" totalsRowDxfId="597"/>
    <tableColumn id="11" name="10" dataDxfId="596" totalsRowDxfId="595"/>
    <tableColumn id="12" name="11" dataDxfId="594" totalsRowDxfId="593"/>
    <tableColumn id="13" name="12" dataDxfId="592" totalsRowDxfId="591"/>
    <tableColumn id="14" name="13" dataDxfId="590" totalsRowDxfId="589"/>
    <tableColumn id="15" name="14" dataDxfId="588" totalsRowDxfId="587"/>
    <tableColumn id="16" name="15" dataDxfId="586" totalsRowDxfId="585"/>
    <tableColumn id="17" name="16" dataDxfId="584" totalsRowDxfId="583"/>
    <tableColumn id="18" name="17" dataDxfId="582" totalsRowDxfId="581"/>
    <tableColumn id="19" name="18" dataDxfId="580" totalsRowDxfId="579"/>
    <tableColumn id="20" name="19" dataDxfId="578" totalsRowDxfId="577"/>
    <tableColumn id="21" name="20" dataDxfId="576" totalsRowDxfId="575"/>
    <tableColumn id="22" name="21" dataDxfId="574" totalsRowDxfId="573"/>
    <tableColumn id="23" name="22" dataDxfId="572" totalsRowDxfId="571"/>
    <tableColumn id="24" name="23" dataDxfId="570" totalsRowDxfId="569"/>
    <tableColumn id="25" name="24" dataDxfId="568" totalsRowDxfId="567"/>
    <tableColumn id="26" name="25" dataDxfId="566" totalsRowDxfId="565"/>
    <tableColumn id="27" name="26" dataDxfId="564" totalsRowDxfId="563"/>
    <tableColumn id="28" name="27" dataDxfId="562" totalsRowDxfId="561"/>
    <tableColumn id="29" name="28" dataDxfId="560" totalsRowDxfId="559"/>
    <tableColumn id="30" name="J" dataDxfId="558" totalsRowDxfId="557"/>
    <tableColumn id="31" name="30" dataDxfId="556" totalsRowDxfId="555"/>
    <tableColumn id="32" name=" " dataDxfId="554" totalsRowDxfId="553"/>
    <tableColumn id="33" name="Nombre total de jours" totalsRowDxfId="552">
      <calculatedColumnFormula>COUNTA(tblAvril[[#This Row],[1]:[J]])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avril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5.xml><?xml version="1.0" encoding="utf-8"?>
<table xmlns="http://schemas.openxmlformats.org/spreadsheetml/2006/main" id="5" name="tblMai" displayName="tblMai" ref="A4:AG10" totalsRowShown="0">
  <tableColumns count="33">
    <tableColumn id="1" name="Pas de tir" dataDxfId="546"/>
    <tableColumn id="2" name="1" dataDxfId="545" totalsRowDxfId="544"/>
    <tableColumn id="3" name="2" dataDxfId="543" totalsRowDxfId="542"/>
    <tableColumn id="4" name="3" dataDxfId="541" totalsRowDxfId="540"/>
    <tableColumn id="5" name="4" dataDxfId="539" totalsRowDxfId="538"/>
    <tableColumn id="6" name="5" dataDxfId="537" totalsRowDxfId="536"/>
    <tableColumn id="7" name="6" dataDxfId="535" totalsRowDxfId="534"/>
    <tableColumn id="8" name="7" dataDxfId="533" totalsRowDxfId="532"/>
    <tableColumn id="9" name="8" dataDxfId="531" totalsRowDxfId="530"/>
    <tableColumn id="10" name="9" dataDxfId="529" totalsRowDxfId="528"/>
    <tableColumn id="11" name="10" dataDxfId="527" totalsRowDxfId="526"/>
    <tableColumn id="12" name="11" dataDxfId="525" totalsRowDxfId="524"/>
    <tableColumn id="13" name="12" dataDxfId="523" totalsRowDxfId="522"/>
    <tableColumn id="14" name="13" dataDxfId="521" totalsRowDxfId="520"/>
    <tableColumn id="15" name="14" dataDxfId="519" totalsRowDxfId="518"/>
    <tableColumn id="16" name="15" dataDxfId="517" totalsRowDxfId="516"/>
    <tableColumn id="17" name="16" dataDxfId="515" totalsRowDxfId="514"/>
    <tableColumn id="18" name="17" dataDxfId="513" totalsRowDxfId="512"/>
    <tableColumn id="19" name="18" dataDxfId="511" totalsRowDxfId="510"/>
    <tableColumn id="20" name="19" dataDxfId="509" totalsRowDxfId="508"/>
    <tableColumn id="21" name="20" dataDxfId="507" totalsRowDxfId="506"/>
    <tableColumn id="22" name="21" dataDxfId="505" totalsRowDxfId="504"/>
    <tableColumn id="23" name="22" dataDxfId="503" totalsRowDxfId="502"/>
    <tableColumn id="24" name="23" dataDxfId="501" totalsRowDxfId="500"/>
    <tableColumn id="25" name="24" dataDxfId="499" totalsRowDxfId="498"/>
    <tableColumn id="26" name="25" dataDxfId="497" totalsRowDxfId="496"/>
    <tableColumn id="27" name="26" dataDxfId="495" totalsRowDxfId="494"/>
    <tableColumn id="28" name="27" dataDxfId="493" totalsRowDxfId="492"/>
    <tableColumn id="29" name="28" dataDxfId="491" totalsRowDxfId="490"/>
    <tableColumn id="30" name="29" dataDxfId="489" totalsRowDxfId="488"/>
    <tableColumn id="31" name="30" dataDxfId="487" totalsRowDxfId="486"/>
    <tableColumn id="32" name="31" dataDxfId="485" totalsRowDxfId="484"/>
    <tableColumn id="33" name="Nombre total de jours" totalsRowDxfId="483">
      <calculatedColumnFormula>COUNTA(tblMai[[#This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mai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6.xml><?xml version="1.0" encoding="utf-8"?>
<table xmlns="http://schemas.openxmlformats.org/spreadsheetml/2006/main" id="6" name="tblJuin" displayName="tblJuin" ref="A4:AG10" totalsRowShown="0">
  <tableColumns count="33">
    <tableColumn id="1" name="Pas de tir" dataDxfId="477"/>
    <tableColumn id="2" name="1" dataDxfId="476" totalsRowDxfId="475"/>
    <tableColumn id="3" name="2" dataDxfId="474" totalsRowDxfId="473"/>
    <tableColumn id="4" name="3" dataDxfId="472" totalsRowDxfId="471"/>
    <tableColumn id="5" name="4" dataDxfId="470" totalsRowDxfId="469"/>
    <tableColumn id="6" name="5" dataDxfId="468" totalsRowDxfId="467"/>
    <tableColumn id="7" name="6" dataDxfId="466" totalsRowDxfId="465"/>
    <tableColumn id="8" name="7" dataDxfId="464" totalsRowDxfId="463"/>
    <tableColumn id="9" name="8" dataDxfId="462" totalsRowDxfId="461"/>
    <tableColumn id="10" name="9" dataDxfId="460" totalsRowDxfId="459"/>
    <tableColumn id="11" name="10" dataDxfId="458" totalsRowDxfId="457"/>
    <tableColumn id="12" name="11" dataDxfId="456" totalsRowDxfId="455"/>
    <tableColumn id="13" name="12" dataDxfId="454" totalsRowDxfId="453"/>
    <tableColumn id="14" name="13" dataDxfId="452" totalsRowDxfId="451"/>
    <tableColumn id="15" name="14" dataDxfId="450" totalsRowDxfId="449"/>
    <tableColumn id="16" name="15" dataDxfId="448" totalsRowDxfId="447"/>
    <tableColumn id="17" name="16" dataDxfId="446" totalsRowDxfId="445"/>
    <tableColumn id="18" name="17" dataDxfId="444" totalsRowDxfId="443"/>
    <tableColumn id="19" name="18" dataDxfId="442" totalsRowDxfId="441"/>
    <tableColumn id="20" name="19" dataDxfId="440" totalsRowDxfId="439"/>
    <tableColumn id="21" name="20" dataDxfId="438" totalsRowDxfId="437"/>
    <tableColumn id="22" name="21" dataDxfId="436" totalsRowDxfId="435"/>
    <tableColumn id="23" name="22" dataDxfId="434" totalsRowDxfId="433"/>
    <tableColumn id="24" name="23" dataDxfId="432" totalsRowDxfId="431"/>
    <tableColumn id="25" name="24" dataDxfId="430" totalsRowDxfId="429"/>
    <tableColumn id="26" name="25" dataDxfId="428" totalsRowDxfId="427"/>
    <tableColumn id="27" name="26" dataDxfId="426" totalsRowDxfId="425"/>
    <tableColumn id="28" name="27" dataDxfId="424" totalsRowDxfId="423"/>
    <tableColumn id="29" name="28" dataDxfId="422" totalsRowDxfId="421"/>
    <tableColumn id="30" name="29" dataDxfId="420" totalsRowDxfId="419"/>
    <tableColumn id="31" name="30" dataDxfId="418" totalsRowDxfId="417"/>
    <tableColumn id="32" name=" " dataDxfId="416" totalsRowDxfId="415"/>
    <tableColumn id="33" name="Nombre total de jours" totalsRowDxfId="414">
      <calculatedColumnFormula>COUNTA(tblJuin[[#This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juin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7.xml><?xml version="1.0" encoding="utf-8"?>
<table xmlns="http://schemas.openxmlformats.org/spreadsheetml/2006/main" id="7" name="tblJuillet" displayName="tblJuillet" ref="A4:AG10" totalsRowShown="0">
  <tableColumns count="33">
    <tableColumn id="1" name="Pas de tir" dataDxfId="408"/>
    <tableColumn id="2" name="1" dataDxfId="407" totalsRowDxfId="406"/>
    <tableColumn id="3" name="2" dataDxfId="405" totalsRowDxfId="404"/>
    <tableColumn id="4" name="3" dataDxfId="403" totalsRowDxfId="402"/>
    <tableColumn id="5" name="4" dataDxfId="401" totalsRowDxfId="400"/>
    <tableColumn id="6" name="5" dataDxfId="399" totalsRowDxfId="398"/>
    <tableColumn id="7" name="6" dataDxfId="397" totalsRowDxfId="396"/>
    <tableColumn id="8" name="7" dataDxfId="395" totalsRowDxfId="394"/>
    <tableColumn id="9" name="8" dataDxfId="393" totalsRowDxfId="392"/>
    <tableColumn id="10" name="9" dataDxfId="391" totalsRowDxfId="390"/>
    <tableColumn id="11" name="10" dataDxfId="389" totalsRowDxfId="388"/>
    <tableColumn id="12" name="11" dataDxfId="387" totalsRowDxfId="386"/>
    <tableColumn id="13" name="12" dataDxfId="385" totalsRowDxfId="384"/>
    <tableColumn id="14" name="13" dataDxfId="383" totalsRowDxfId="382"/>
    <tableColumn id="15" name="14" dataDxfId="381" totalsRowDxfId="380"/>
    <tableColumn id="16" name="15" dataDxfId="379" totalsRowDxfId="378"/>
    <tableColumn id="17" name="16" dataDxfId="377" totalsRowDxfId="376"/>
    <tableColumn id="18" name="17" dataDxfId="375" totalsRowDxfId="374"/>
    <tableColumn id="19" name="18" dataDxfId="373" totalsRowDxfId="372"/>
    <tableColumn id="20" name="19" dataDxfId="371" totalsRowDxfId="370"/>
    <tableColumn id="21" name="20" dataDxfId="369" totalsRowDxfId="368"/>
    <tableColumn id="22" name="21" dataDxfId="367" totalsRowDxfId="366"/>
    <tableColumn id="23" name="22" dataDxfId="365" totalsRowDxfId="364"/>
    <tableColumn id="24" name="23" dataDxfId="363" totalsRowDxfId="362"/>
    <tableColumn id="25" name="24" dataDxfId="361" totalsRowDxfId="360"/>
    <tableColumn id="26" name="25" dataDxfId="359" totalsRowDxfId="358"/>
    <tableColumn id="27" name="26" dataDxfId="357" totalsRowDxfId="356"/>
    <tableColumn id="28" name="27" dataDxfId="355" totalsRowDxfId="354"/>
    <tableColumn id="29" name="28" dataDxfId="353" totalsRowDxfId="352"/>
    <tableColumn id="30" name="29" dataDxfId="351" totalsRowDxfId="350"/>
    <tableColumn id="31" name="30" dataDxfId="349" totalsRowDxfId="348"/>
    <tableColumn id="32" name="31" dataDxfId="347" totalsRowDxfId="346"/>
    <tableColumn id="33" name="Nombre total de jours" totalsRowDxfId="345">
      <calculatedColumnFormula>COUNTA(tblJuillet[[#This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juillet" altTextSummary="Fournit une liste de noms et des dates de calendrier pour consigner les absences des employés et leur type (C=Congés, M=Maladie, P=Personnel et deux espaces réservés pour des entrées personnalisées)."/>
    </ext>
  </extLst>
</table>
</file>

<file path=xl/tables/table8.xml><?xml version="1.0" encoding="utf-8"?>
<table xmlns="http://schemas.openxmlformats.org/spreadsheetml/2006/main" id="8" name="tblAoût" displayName="tblAoût" ref="A4:AG10" totalsRowShown="0">
  <tableColumns count="33">
    <tableColumn id="1" name="Pas de tir" dataDxfId="339"/>
    <tableColumn id="2" name="1" dataDxfId="338" totalsRowDxfId="337"/>
    <tableColumn id="3" name="2" dataDxfId="336" totalsRowDxfId="335"/>
    <tableColumn id="4" name="3" dataDxfId="334" totalsRowDxfId="333"/>
    <tableColumn id="5" name="4" dataDxfId="332" totalsRowDxfId="331"/>
    <tableColumn id="6" name="5" dataDxfId="330" totalsRowDxfId="329"/>
    <tableColumn id="7" name="6" dataDxfId="328" totalsRowDxfId="327"/>
    <tableColumn id="8" name="7" dataDxfId="326" totalsRowDxfId="325"/>
    <tableColumn id="9" name="8" dataDxfId="324" totalsRowDxfId="323"/>
    <tableColumn id="10" name="9" dataDxfId="322" totalsRowDxfId="321"/>
    <tableColumn id="11" name="10" dataDxfId="320" totalsRowDxfId="319"/>
    <tableColumn id="12" name="11" dataDxfId="318" totalsRowDxfId="317"/>
    <tableColumn id="13" name="12" dataDxfId="316" totalsRowDxfId="315"/>
    <tableColumn id="14" name="13" dataDxfId="314" totalsRowDxfId="313"/>
    <tableColumn id="15" name="14" dataDxfId="312" totalsRowDxfId="311"/>
    <tableColumn id="16" name="15" dataDxfId="310" totalsRowDxfId="309"/>
    <tableColumn id="17" name="16" dataDxfId="308" totalsRowDxfId="307"/>
    <tableColumn id="18" name="17" dataDxfId="306" totalsRowDxfId="305"/>
    <tableColumn id="19" name="18" dataDxfId="304" totalsRowDxfId="303"/>
    <tableColumn id="20" name="19" dataDxfId="302" totalsRowDxfId="301"/>
    <tableColumn id="21" name="20" dataDxfId="300" totalsRowDxfId="299"/>
    <tableColumn id="22" name="21" dataDxfId="298" totalsRowDxfId="297"/>
    <tableColumn id="23" name="22" dataDxfId="296" totalsRowDxfId="295"/>
    <tableColumn id="24" name="23" dataDxfId="294" totalsRowDxfId="293"/>
    <tableColumn id="25" name="24" dataDxfId="292" totalsRowDxfId="291"/>
    <tableColumn id="26" name="25" dataDxfId="290" totalsRowDxfId="289"/>
    <tableColumn id="27" name="26" dataDxfId="288" totalsRowDxfId="287"/>
    <tableColumn id="28" name="27" dataDxfId="286" totalsRowDxfId="285"/>
    <tableColumn id="29" name="28" dataDxfId="284" totalsRowDxfId="283"/>
    <tableColumn id="30" name="29" dataDxfId="282" totalsRowDxfId="281"/>
    <tableColumn id="31" name="30" dataDxfId="280" totalsRowDxfId="279"/>
    <tableColumn id="32" name="31" dataDxfId="278" totalsRowDxfId="277"/>
    <tableColumn id="33" name="Nombre total de jours" totalsRowDxfId="276">
      <calculatedColumnFormula>COUNTA(tblAoût[[#This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août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ables/table9.xml><?xml version="1.0" encoding="utf-8"?>
<table xmlns="http://schemas.openxmlformats.org/spreadsheetml/2006/main" id="9" name="tblSeptembre" displayName="tblSeptembre" ref="A4:AG10" totalsRowShown="0">
  <tableColumns count="33">
    <tableColumn id="1" name="Pas de tir" dataDxfId="270"/>
    <tableColumn id="2" name="1" dataDxfId="269" totalsRowDxfId="268"/>
    <tableColumn id="3" name="2" dataDxfId="267" totalsRowDxfId="266"/>
    <tableColumn id="4" name="3" dataDxfId="265" totalsRowDxfId="264"/>
    <tableColumn id="5" name="4" dataDxfId="263" totalsRowDxfId="262"/>
    <tableColumn id="6" name="5" dataDxfId="261" totalsRowDxfId="260"/>
    <tableColumn id="7" name="6" dataDxfId="259" totalsRowDxfId="258"/>
    <tableColumn id="8" name="7" dataDxfId="257" totalsRowDxfId="256"/>
    <tableColumn id="9" name="8" dataDxfId="255" totalsRowDxfId="254"/>
    <tableColumn id="10" name="9" dataDxfId="253" totalsRowDxfId="252"/>
    <tableColumn id="11" name="10" dataDxfId="251" totalsRowDxfId="250"/>
    <tableColumn id="12" name="11" dataDxfId="249" totalsRowDxfId="248"/>
    <tableColumn id="13" name="12" dataDxfId="247" totalsRowDxfId="246"/>
    <tableColumn id="14" name="13" dataDxfId="245" totalsRowDxfId="244"/>
    <tableColumn id="15" name="14" dataDxfId="243" totalsRowDxfId="242"/>
    <tableColumn id="16" name="15" dataDxfId="241" totalsRowDxfId="240"/>
    <tableColumn id="17" name="16" dataDxfId="239" totalsRowDxfId="238"/>
    <tableColumn id="18" name="17" dataDxfId="237" totalsRowDxfId="236"/>
    <tableColumn id="19" name="18" dataDxfId="235" totalsRowDxfId="234"/>
    <tableColumn id="20" name="19" dataDxfId="233" totalsRowDxfId="232"/>
    <tableColumn id="21" name="20" dataDxfId="231" totalsRowDxfId="230"/>
    <tableColumn id="22" name="21" dataDxfId="229" totalsRowDxfId="228"/>
    <tableColumn id="23" name="22" dataDxfId="227" totalsRowDxfId="226"/>
    <tableColumn id="24" name="23" dataDxfId="225" totalsRowDxfId="224"/>
    <tableColumn id="25" name="24" dataDxfId="223" totalsRowDxfId="222"/>
    <tableColumn id="26" name="25" dataDxfId="221" totalsRowDxfId="220"/>
    <tableColumn id="27" name="26" dataDxfId="219" totalsRowDxfId="218"/>
    <tableColumn id="28" name="27" dataDxfId="217" totalsRowDxfId="216"/>
    <tableColumn id="29" name="28" dataDxfId="215" totalsRowDxfId="214"/>
    <tableColumn id="30" name="29" dataDxfId="213" totalsRowDxfId="212"/>
    <tableColumn id="31" name="30" dataDxfId="211" totalsRowDxfId="210"/>
    <tableColumn id="32" name=" " dataDxfId="209" totalsRowDxfId="208"/>
    <tableColumn id="33" name="Nombre total de jours" totalsRowDxfId="207">
      <calculatedColumnFormula>COUNTA(tblSeptembre[[#This Row],[1]:[29]])</calculatedColumnFormula>
    </tableColumn>
  </tableColumns>
  <tableStyleInfo name="Employee Absence Table" showFirstColumn="1" showLastColumn="1" showRowStripes="1" showColumnStripes="0"/>
  <extLst>
    <ext xmlns:x14="http://schemas.microsoft.com/office/spreadsheetml/2009/9/main" uri="{504A1905-F514-4f6f-8877-14C23A59335A}">
      <x14:table altText="Planification des absences des employés pour septembre" altTextSummary="Fournit une liste de noms et des dates de calendrier pour consigner les absences des employés et leur type (C=Congés, M=Maladie, P=Personnel et deux espaces réservés pour des entrées personnalisées). "/>
    </ext>
  </extLst>
</table>
</file>

<file path=xl/theme/theme1.xml><?xml version="1.0" encoding="utf-8"?>
<a:theme xmlns:a="http://schemas.openxmlformats.org/drawingml/2006/main" name="Cadre">
  <a:themeElements>
    <a:clrScheme name="Cadre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Cadre">
      <a:majorFont>
        <a:latin typeface="Corbel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Cad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  <pageSetUpPr fitToPage="1"/>
  </sheetPr>
  <dimension ref="A1:AH1399"/>
  <sheetViews>
    <sheetView showGridLines="0" workbookViewId="0">
      <selection activeCell="T19" sqref="Q19:T19"/>
    </sheetView>
  </sheetViews>
  <sheetFormatPr baseColWidth="10" defaultColWidth="9.109375" defaultRowHeight="15" customHeight="1" x14ac:dyDescent="0.25"/>
  <cols>
    <col min="1" max="1" width="24.33203125" style="15" customWidth="1"/>
    <col min="2" max="21" width="4" style="13" customWidth="1"/>
    <col min="22" max="22" width="4.44140625" style="13" customWidth="1"/>
    <col min="23" max="25" width="4" style="13" customWidth="1"/>
    <col min="26" max="27" width="4.44140625" style="13" customWidth="1"/>
    <col min="28" max="31" width="4" style="13" customWidth="1"/>
    <col min="32" max="32" width="4.44140625" style="13" customWidth="1"/>
    <col min="33" max="33" width="20.44140625" style="12" customWidth="1"/>
    <col min="34" max="34" width="9.109375" style="13"/>
    <col min="35" max="16384" width="9.109375" style="14"/>
  </cols>
  <sheetData>
    <row r="1" spans="1:34" s="33" customFormat="1" ht="50.25" customHeight="1" x14ac:dyDescent="0.3">
      <c r="A1" s="24" t="s">
        <v>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9"/>
      <c r="AD1" s="29"/>
      <c r="AE1" s="30"/>
      <c r="AF1" s="31"/>
      <c r="AG1" s="31"/>
      <c r="AH1" s="32"/>
    </row>
    <row r="2" spans="1:34" s="4" customFormat="1" ht="30" customHeight="1" x14ac:dyDescent="0.3">
      <c r="A2" s="66" t="s">
        <v>35</v>
      </c>
      <c r="B2" s="64" t="s">
        <v>64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7">
        <v>2023</v>
      </c>
      <c r="AH2" s="3"/>
    </row>
    <row r="3" spans="1:34" s="6" customFormat="1" ht="15.75" customHeight="1" x14ac:dyDescent="0.3">
      <c r="A3" s="66"/>
      <c r="B3" s="25" t="str">
        <f>TEXT(WEEKDAY(DATE(CalendrierAnnée,1,1),1),"jjj")</f>
        <v>dim</v>
      </c>
      <c r="C3" s="26" t="str">
        <f>TEXT(WEEKDAY(DATE(CalendrierAnnée,1,2),1),"jjj")</f>
        <v>lun</v>
      </c>
      <c r="D3" s="26" t="str">
        <f>TEXT(WEEKDAY(DATE(CalendrierAnnée,1,3),1),"jjj")</f>
        <v>mar</v>
      </c>
      <c r="E3" s="26" t="str">
        <f>TEXT(WEEKDAY(DATE(CalendrierAnnée,1,4),1),"jjj")</f>
        <v>mer</v>
      </c>
      <c r="F3" s="26" t="str">
        <f>TEXT(WEEKDAY(DATE(CalendrierAnnée,1,5),1),"jjj")</f>
        <v>jeu</v>
      </c>
      <c r="G3" s="26" t="str">
        <f>TEXT(WEEKDAY(DATE(CalendrierAnnée,1,6),1),"jjj")</f>
        <v>ven</v>
      </c>
      <c r="H3" s="26" t="str">
        <f>TEXT(WEEKDAY(DATE(CalendrierAnnée,1,7),1),"jjj")</f>
        <v>sam</v>
      </c>
      <c r="I3" s="26" t="str">
        <f>TEXT(WEEKDAY(DATE(CalendrierAnnée,1,8),1),"jjj")</f>
        <v>dim</v>
      </c>
      <c r="J3" s="26" t="str">
        <f>TEXT(WEEKDAY(DATE(CalendrierAnnée,1,9),1),"jjj")</f>
        <v>lun</v>
      </c>
      <c r="K3" s="26" t="str">
        <f>TEXT(WEEKDAY(DATE(CalendrierAnnée,1,10),1),"jjj")</f>
        <v>mar</v>
      </c>
      <c r="L3" s="26" t="str">
        <f>TEXT(WEEKDAY(DATE(CalendrierAnnée,1,11),1),"jjj")</f>
        <v>mer</v>
      </c>
      <c r="M3" s="26" t="str">
        <f>TEXT(WEEKDAY(DATE(CalendrierAnnée,1,12),1),"jjj")</f>
        <v>jeu</v>
      </c>
      <c r="N3" s="26" t="str">
        <f>TEXT(WEEKDAY(DATE(CalendrierAnnée,1,13),1),"jjj")</f>
        <v>ven</v>
      </c>
      <c r="O3" s="26" t="str">
        <f>TEXT(WEEKDAY(DATE(CalendrierAnnée,1,14),1),"jjj")</f>
        <v>sam</v>
      </c>
      <c r="P3" s="26" t="str">
        <f>TEXT(WEEKDAY(DATE(CalendrierAnnée,1,15),1),"jjj")</f>
        <v>dim</v>
      </c>
      <c r="Q3" s="26" t="str">
        <f>TEXT(WEEKDAY(DATE(CalendrierAnnée,1,16),1),"jjj")</f>
        <v>lun</v>
      </c>
      <c r="R3" s="26" t="str">
        <f>TEXT(WEEKDAY(DATE(CalendrierAnnée,1,17),1),"jjj")</f>
        <v>mar</v>
      </c>
      <c r="S3" s="26" t="str">
        <f>TEXT(WEEKDAY(DATE(CalendrierAnnée,1,18),1),"jjj")</f>
        <v>mer</v>
      </c>
      <c r="T3" s="26" t="str">
        <f>TEXT(WEEKDAY(DATE(CalendrierAnnée,1,19),1),"jjj")</f>
        <v>jeu</v>
      </c>
      <c r="U3" s="26" t="str">
        <f>TEXT(WEEKDAY(DATE(CalendrierAnnée,1,20),1),"jjj")</f>
        <v>ven</v>
      </c>
      <c r="V3" s="26" t="str">
        <f>TEXT(WEEKDAY(DATE(CalendrierAnnée,1,21),1),"jjj")</f>
        <v>sam</v>
      </c>
      <c r="W3" s="26" t="str">
        <f>TEXT(WEEKDAY(DATE(CalendrierAnnée,1,22),1),"jjj")</f>
        <v>dim</v>
      </c>
      <c r="X3" s="26" t="str">
        <f>TEXT(WEEKDAY(DATE(CalendrierAnnée,1,23),1),"jjj")</f>
        <v>lun</v>
      </c>
      <c r="Y3" s="26" t="str">
        <f>TEXT(WEEKDAY(DATE(CalendrierAnnée,1,24),1),"jjj")</f>
        <v>mar</v>
      </c>
      <c r="Z3" s="26" t="str">
        <f>TEXT(WEEKDAY(DATE(CalendrierAnnée,1,25),1),"jjj")</f>
        <v>mer</v>
      </c>
      <c r="AA3" s="26" t="str">
        <f>TEXT(WEEKDAY(DATE(CalendrierAnnée,1,26),1),"jjj")</f>
        <v>jeu</v>
      </c>
      <c r="AB3" s="26" t="str">
        <f>TEXT(WEEKDAY(DATE(CalendrierAnnée,1,27),1),"jjj")</f>
        <v>ven</v>
      </c>
      <c r="AC3" s="26" t="str">
        <f>TEXT(WEEKDAY(DATE(CalendrierAnnée,1,28),1),"jjj")</f>
        <v>sam</v>
      </c>
      <c r="AD3" s="26" t="str">
        <f>TEXT(WEEKDAY(DATE(CalendrierAnnée,1,29),1),"jjj")</f>
        <v>dim</v>
      </c>
      <c r="AE3" s="26" t="str">
        <f>TEXT(WEEKDAY(DATE(CalendrierAnnée,1,30),1),"jjj")</f>
        <v>lun</v>
      </c>
      <c r="AF3" s="27" t="str">
        <f>TEXT(WEEKDAY(DATE(CalendrierAnnée,1,31),1),"jjj")</f>
        <v>mar</v>
      </c>
      <c r="AG3" s="67"/>
      <c r="AH3" s="5"/>
    </row>
    <row r="4" spans="1:34" s="10" customFormat="1" ht="14.4" x14ac:dyDescent="0.3">
      <c r="A4" s="34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9"/>
    </row>
    <row r="5" spans="1:34" s="10" customFormat="1" ht="14.4" x14ac:dyDescent="0.3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COUNTA(tblJanvier[[#This Row],[1]:[31]])</f>
        <v>0</v>
      </c>
      <c r="AH5" s="9"/>
    </row>
    <row r="6" spans="1:34" s="10" customFormat="1" ht="14.4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62</v>
      </c>
      <c r="R6" s="7" t="s">
        <v>62</v>
      </c>
      <c r="S6" s="7" t="s">
        <v>62</v>
      </c>
      <c r="T6" s="7" t="s">
        <v>62</v>
      </c>
      <c r="U6" s="7" t="s">
        <v>62</v>
      </c>
      <c r="V6" s="7"/>
      <c r="W6" s="7"/>
      <c r="X6" s="7"/>
      <c r="Y6" s="7"/>
      <c r="Z6" s="7"/>
      <c r="AA6" s="7"/>
      <c r="AB6" s="7"/>
      <c r="AC6" s="7"/>
      <c r="AD6" s="7"/>
      <c r="AE6" s="7" t="s">
        <v>62</v>
      </c>
      <c r="AF6" s="7" t="s">
        <v>62</v>
      </c>
      <c r="AG6" s="11">
        <f>COUNTA(tblJanvier[[#This Row],[1]:[31]])</f>
        <v>7</v>
      </c>
      <c r="AH6" s="9"/>
    </row>
    <row r="7" spans="1:34" s="1" customFormat="1" ht="14.4" x14ac:dyDescent="0.3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 t="s">
        <v>62</v>
      </c>
      <c r="R7" s="7" t="s">
        <v>62</v>
      </c>
      <c r="S7" s="7" t="s">
        <v>62</v>
      </c>
      <c r="T7" s="7" t="s">
        <v>62</v>
      </c>
      <c r="U7" s="7" t="s">
        <v>62</v>
      </c>
      <c r="V7" s="7"/>
      <c r="W7" s="7"/>
      <c r="X7" s="7"/>
      <c r="Y7" s="7"/>
      <c r="Z7" s="7"/>
      <c r="AA7" s="7"/>
      <c r="AB7" s="7"/>
      <c r="AC7" s="7"/>
      <c r="AD7" s="7"/>
      <c r="AE7" s="7" t="s">
        <v>62</v>
      </c>
      <c r="AF7" s="7" t="s">
        <v>62</v>
      </c>
      <c r="AG7" s="11">
        <f>COUNTA(tblJanvier[[#This Row],[1]:[31]])</f>
        <v>7</v>
      </c>
      <c r="AH7" s="2"/>
    </row>
    <row r="8" spans="1:34" s="1" customFormat="1" ht="14.4" x14ac:dyDescent="0.3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COUNTA(tblJanvier[[#This Row],[1]:[31]])</f>
        <v>0</v>
      </c>
      <c r="AH8" s="2"/>
    </row>
    <row r="9" spans="1:34" s="1" customFormat="1" ht="14.4" x14ac:dyDescent="0.3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62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COUNTA(tblJanvier[[#This Row],[1]:[31]])</f>
        <v>1</v>
      </c>
      <c r="AH9" s="2"/>
    </row>
    <row r="10" spans="1:34" s="1" customFormat="1" ht="14.4" x14ac:dyDescent="0.3">
      <c r="A10" s="44" t="s">
        <v>60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1">
        <f>COUNTA(tblJanvier[[#This Row],[1]:[31]])</f>
        <v>0</v>
      </c>
      <c r="AH10" s="2"/>
    </row>
    <row r="11" spans="1:34" customFormat="1" ht="14.4" x14ac:dyDescent="0.3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</row>
    <row r="12" spans="1:34" customFormat="1" ht="14.4" x14ac:dyDescent="0.3">
      <c r="A12" s="8"/>
      <c r="B12" s="38" t="s">
        <v>37</v>
      </c>
      <c r="C12" s="38"/>
      <c r="D12" s="38"/>
      <c r="E12" s="38"/>
      <c r="F12" s="39"/>
      <c r="G12" s="23" t="s">
        <v>32</v>
      </c>
      <c r="H12" s="35" t="s">
        <v>56</v>
      </c>
      <c r="I12" s="36"/>
      <c r="J12" s="36"/>
      <c r="K12" s="19" t="s">
        <v>61</v>
      </c>
      <c r="L12" s="35" t="s">
        <v>57</v>
      </c>
      <c r="M12" s="36"/>
      <c r="N12" s="36"/>
      <c r="O12" s="20" t="s">
        <v>62</v>
      </c>
      <c r="P12" s="35" t="s">
        <v>58</v>
      </c>
      <c r="Q12" s="36"/>
      <c r="R12" s="36"/>
      <c r="S12" s="21" t="s">
        <v>63</v>
      </c>
      <c r="T12" s="40" t="s">
        <v>59</v>
      </c>
      <c r="U12" s="37"/>
      <c r="V12" s="36"/>
      <c r="W12" s="22"/>
      <c r="X12" s="40" t="s">
        <v>36</v>
      </c>
      <c r="Y12" s="36"/>
      <c r="Z12" s="37"/>
      <c r="AA12" s="13"/>
      <c r="AB12" s="13"/>
      <c r="AC12" s="13"/>
      <c r="AD12" s="13"/>
      <c r="AE12" s="13"/>
      <c r="AF12" s="13"/>
      <c r="AG12" s="12"/>
    </row>
    <row r="13" spans="1:34" customFormat="1" ht="14.4" x14ac:dyDescent="0.3">
      <c r="J13" s="14"/>
      <c r="K13" s="14"/>
    </row>
    <row r="14" spans="1:34" customFormat="1" ht="14.4" x14ac:dyDescent="0.3"/>
    <row r="15" spans="1:34" customFormat="1" ht="14.4" x14ac:dyDescent="0.3"/>
    <row r="16" spans="1:34" customFormat="1" ht="15" customHeight="1" x14ac:dyDescent="0.3">
      <c r="Q16" s="56" t="s">
        <v>67</v>
      </c>
      <c r="R16" s="56"/>
      <c r="S16" s="56"/>
      <c r="T16" s="56"/>
      <c r="U16" s="56"/>
      <c r="AE16" s="56" t="s">
        <v>67</v>
      </c>
      <c r="AF16" s="56"/>
    </row>
    <row r="17" spans="17:32" customFormat="1" ht="15" customHeight="1" x14ac:dyDescent="0.3">
      <c r="Q17" s="57"/>
      <c r="R17" s="57"/>
      <c r="S17" s="57"/>
      <c r="T17" s="57"/>
      <c r="U17" s="57"/>
      <c r="AE17" s="57"/>
      <c r="AF17" s="57"/>
    </row>
    <row r="18" spans="17:32" customFormat="1" ht="15" customHeight="1" x14ac:dyDescent="0.3"/>
    <row r="19" spans="17:32" customFormat="1" ht="15" customHeight="1" x14ac:dyDescent="0.3">
      <c r="Q19" s="70" t="s">
        <v>73</v>
      </c>
    </row>
    <row r="20" spans="17:32" customFormat="1" ht="15" customHeight="1" x14ac:dyDescent="0.3"/>
    <row r="21" spans="17:32" customFormat="1" ht="15" customHeight="1" x14ac:dyDescent="0.3"/>
    <row r="22" spans="17:32" customFormat="1" ht="15" customHeight="1" x14ac:dyDescent="0.3"/>
    <row r="23" spans="17:32" customFormat="1" ht="15" customHeight="1" x14ac:dyDescent="0.3"/>
    <row r="24" spans="17:32" customFormat="1" ht="15" customHeight="1" x14ac:dyDescent="0.3"/>
    <row r="25" spans="17:32" customFormat="1" ht="15" customHeight="1" x14ac:dyDescent="0.3"/>
    <row r="26" spans="17:32" customFormat="1" ht="15" customHeight="1" x14ac:dyDescent="0.3"/>
    <row r="27" spans="17:32" customFormat="1" ht="15" customHeight="1" x14ac:dyDescent="0.3"/>
    <row r="28" spans="17:32" customFormat="1" ht="15" customHeight="1" x14ac:dyDescent="0.3"/>
    <row r="29" spans="17:32" customFormat="1" ht="15" customHeight="1" x14ac:dyDescent="0.3"/>
    <row r="30" spans="17:32" customFormat="1" ht="15" customHeight="1" x14ac:dyDescent="0.3"/>
    <row r="31" spans="17:32" customFormat="1" ht="15" customHeight="1" x14ac:dyDescent="0.3"/>
    <row r="32" spans="17:32" customFormat="1" ht="15" customHeight="1" x14ac:dyDescent="0.3"/>
    <row r="33" customFormat="1" ht="15" customHeight="1" x14ac:dyDescent="0.3"/>
    <row r="34" customFormat="1" ht="15" customHeight="1" x14ac:dyDescent="0.3"/>
    <row r="35" customFormat="1" ht="15" customHeight="1" x14ac:dyDescent="0.3"/>
    <row r="36" customFormat="1" ht="15" customHeight="1" x14ac:dyDescent="0.3"/>
    <row r="37" customFormat="1" ht="15" customHeight="1" x14ac:dyDescent="0.3"/>
    <row r="38" customFormat="1" ht="15" customHeight="1" x14ac:dyDescent="0.3"/>
    <row r="39" customFormat="1" ht="15" customHeight="1" x14ac:dyDescent="0.3"/>
    <row r="40" customFormat="1" ht="15" customHeight="1" x14ac:dyDescent="0.3"/>
    <row r="41" customFormat="1" ht="15" customHeight="1" x14ac:dyDescent="0.3"/>
    <row r="42" customFormat="1" ht="15" customHeight="1" x14ac:dyDescent="0.3"/>
    <row r="43" customFormat="1" ht="15" customHeight="1" x14ac:dyDescent="0.3"/>
    <row r="44" customFormat="1" ht="15" customHeight="1" x14ac:dyDescent="0.3"/>
    <row r="45" customFormat="1" ht="15" customHeight="1" x14ac:dyDescent="0.3"/>
    <row r="46" customFormat="1" ht="15" customHeight="1" x14ac:dyDescent="0.3"/>
    <row r="47" customFormat="1" ht="15" customHeight="1" x14ac:dyDescent="0.3"/>
    <row r="48" customFormat="1" ht="15" customHeight="1" x14ac:dyDescent="0.3"/>
    <row r="49" customFormat="1" ht="15" customHeight="1" x14ac:dyDescent="0.3"/>
    <row r="50" customFormat="1" ht="15" customHeight="1" x14ac:dyDescent="0.3"/>
    <row r="51" customFormat="1" ht="15" customHeight="1" x14ac:dyDescent="0.3"/>
    <row r="52" customFormat="1" ht="15" customHeight="1" x14ac:dyDescent="0.3"/>
    <row r="53" customFormat="1" ht="15" customHeight="1" x14ac:dyDescent="0.3"/>
    <row r="54" customFormat="1" ht="15" customHeight="1" x14ac:dyDescent="0.3"/>
    <row r="55" customFormat="1" ht="15" customHeight="1" x14ac:dyDescent="0.3"/>
    <row r="56" customFormat="1" ht="15" customHeight="1" x14ac:dyDescent="0.3"/>
    <row r="57" customFormat="1" ht="15" customHeight="1" x14ac:dyDescent="0.3"/>
    <row r="58" customFormat="1" ht="15" customHeight="1" x14ac:dyDescent="0.3"/>
    <row r="59" customFormat="1" ht="15" customHeight="1" x14ac:dyDescent="0.3"/>
    <row r="60" customFormat="1" ht="15" customHeight="1" x14ac:dyDescent="0.3"/>
    <row r="61" customFormat="1" ht="15" customHeight="1" x14ac:dyDescent="0.3"/>
    <row r="62" customFormat="1" ht="15" customHeight="1" x14ac:dyDescent="0.3"/>
    <row r="63" customFormat="1" ht="15" customHeight="1" x14ac:dyDescent="0.3"/>
    <row r="64" customFormat="1" ht="15" customHeight="1" x14ac:dyDescent="0.3"/>
    <row r="65" customFormat="1" ht="15" customHeight="1" x14ac:dyDescent="0.3"/>
    <row r="66" customFormat="1" ht="15" customHeight="1" x14ac:dyDescent="0.3"/>
    <row r="67" customFormat="1" ht="15" customHeight="1" x14ac:dyDescent="0.3"/>
    <row r="68" customFormat="1" ht="15" customHeight="1" x14ac:dyDescent="0.3"/>
    <row r="69" customFormat="1" ht="15" customHeight="1" x14ac:dyDescent="0.3"/>
    <row r="70" customFormat="1" ht="15" customHeight="1" x14ac:dyDescent="0.3"/>
    <row r="71" customFormat="1" ht="15" customHeight="1" x14ac:dyDescent="0.3"/>
    <row r="72" customFormat="1" ht="15" customHeight="1" x14ac:dyDescent="0.3"/>
    <row r="73" customFormat="1" ht="15" customHeight="1" x14ac:dyDescent="0.3"/>
    <row r="74" customFormat="1" ht="15" customHeight="1" x14ac:dyDescent="0.3"/>
    <row r="75" customFormat="1" ht="15" customHeight="1" x14ac:dyDescent="0.3"/>
    <row r="76" customFormat="1" ht="15" customHeight="1" x14ac:dyDescent="0.3"/>
    <row r="77" customFormat="1" ht="15" customHeight="1" x14ac:dyDescent="0.3"/>
    <row r="78" customFormat="1" ht="15" customHeight="1" x14ac:dyDescent="0.3"/>
    <row r="79" customFormat="1" ht="15" customHeight="1" x14ac:dyDescent="0.3"/>
    <row r="80" customFormat="1" ht="15" customHeight="1" x14ac:dyDescent="0.3"/>
    <row r="81" customFormat="1" ht="15" customHeight="1" x14ac:dyDescent="0.3"/>
    <row r="82" customFormat="1" ht="15" customHeight="1" x14ac:dyDescent="0.3"/>
    <row r="83" customFormat="1" ht="15" customHeight="1" x14ac:dyDescent="0.3"/>
    <row r="84" customFormat="1" ht="15" customHeight="1" x14ac:dyDescent="0.3"/>
    <row r="85" customFormat="1" ht="15" customHeight="1" x14ac:dyDescent="0.3"/>
    <row r="86" customFormat="1" ht="15" customHeight="1" x14ac:dyDescent="0.3"/>
    <row r="87" customFormat="1" ht="15" customHeight="1" x14ac:dyDescent="0.3"/>
    <row r="88" customFormat="1" ht="15" customHeight="1" x14ac:dyDescent="0.3"/>
    <row r="89" customFormat="1" ht="15" customHeight="1" x14ac:dyDescent="0.3"/>
    <row r="90" customFormat="1" ht="15" customHeight="1" x14ac:dyDescent="0.3"/>
    <row r="91" customFormat="1" ht="15" customHeight="1" x14ac:dyDescent="0.3"/>
    <row r="92" customFormat="1" ht="15" customHeight="1" x14ac:dyDescent="0.3"/>
    <row r="93" customFormat="1" ht="15" customHeight="1" x14ac:dyDescent="0.3"/>
    <row r="94" customFormat="1" ht="15" customHeight="1" x14ac:dyDescent="0.3"/>
    <row r="95" customFormat="1" ht="15" customHeight="1" x14ac:dyDescent="0.3"/>
    <row r="96" customFormat="1" ht="15" customHeight="1" x14ac:dyDescent="0.3"/>
    <row r="97" customFormat="1" ht="15" customHeight="1" x14ac:dyDescent="0.3"/>
    <row r="98" customFormat="1" ht="15" customHeight="1" x14ac:dyDescent="0.3"/>
    <row r="99" customFormat="1" ht="15" customHeight="1" x14ac:dyDescent="0.3"/>
    <row r="100" customFormat="1" ht="15" customHeight="1" x14ac:dyDescent="0.3"/>
    <row r="101" customFormat="1" ht="15" customHeight="1" x14ac:dyDescent="0.3"/>
    <row r="102" customFormat="1" ht="15" customHeight="1" x14ac:dyDescent="0.3"/>
    <row r="103" customFormat="1" ht="15" customHeight="1" x14ac:dyDescent="0.3"/>
    <row r="104" customFormat="1" ht="15" customHeight="1" x14ac:dyDescent="0.3"/>
    <row r="105" customFormat="1" ht="15" customHeight="1" x14ac:dyDescent="0.3"/>
    <row r="106" customFormat="1" ht="15" customHeight="1" x14ac:dyDescent="0.3"/>
    <row r="107" customFormat="1" ht="15" customHeight="1" x14ac:dyDescent="0.3"/>
    <row r="108" customFormat="1" ht="15" customHeight="1" x14ac:dyDescent="0.3"/>
    <row r="109" customFormat="1" ht="15" customHeight="1" x14ac:dyDescent="0.3"/>
    <row r="110" customFormat="1" ht="15" customHeight="1" x14ac:dyDescent="0.3"/>
    <row r="111" customFormat="1" ht="15" customHeight="1" x14ac:dyDescent="0.3"/>
    <row r="112" customFormat="1" ht="15" customHeight="1" x14ac:dyDescent="0.3"/>
    <row r="113" customFormat="1" ht="15" customHeight="1" x14ac:dyDescent="0.3"/>
    <row r="114" customFormat="1" ht="15" customHeight="1" x14ac:dyDescent="0.3"/>
    <row r="115" customFormat="1" ht="15" customHeight="1" x14ac:dyDescent="0.3"/>
    <row r="116" customFormat="1" ht="15" customHeight="1" x14ac:dyDescent="0.3"/>
    <row r="117" customFormat="1" ht="15" customHeight="1" x14ac:dyDescent="0.3"/>
    <row r="118" customFormat="1" ht="15" customHeight="1" x14ac:dyDescent="0.3"/>
    <row r="119" customFormat="1" ht="15" customHeight="1" x14ac:dyDescent="0.3"/>
    <row r="120" customFormat="1" ht="15" customHeight="1" x14ac:dyDescent="0.3"/>
    <row r="121" customFormat="1" ht="15" customHeight="1" x14ac:dyDescent="0.3"/>
    <row r="122" customFormat="1" ht="15" customHeight="1" x14ac:dyDescent="0.3"/>
    <row r="123" customFormat="1" ht="15" customHeight="1" x14ac:dyDescent="0.3"/>
    <row r="124" customFormat="1" ht="15" customHeight="1" x14ac:dyDescent="0.3"/>
    <row r="125" customFormat="1" ht="15" customHeight="1" x14ac:dyDescent="0.3"/>
    <row r="126" customFormat="1" ht="15" customHeight="1" x14ac:dyDescent="0.3"/>
    <row r="127" customFormat="1" ht="15" customHeight="1" x14ac:dyDescent="0.3"/>
    <row r="128" customFormat="1" ht="15" customHeight="1" x14ac:dyDescent="0.3"/>
    <row r="129" customFormat="1" ht="15" customHeight="1" x14ac:dyDescent="0.3"/>
    <row r="130" customFormat="1" ht="15" customHeight="1" x14ac:dyDescent="0.3"/>
    <row r="131" customFormat="1" ht="15" customHeight="1" x14ac:dyDescent="0.3"/>
    <row r="132" customFormat="1" ht="15" customHeight="1" x14ac:dyDescent="0.3"/>
    <row r="133" customFormat="1" ht="15" customHeight="1" x14ac:dyDescent="0.3"/>
    <row r="134" customFormat="1" ht="15" customHeight="1" x14ac:dyDescent="0.3"/>
    <row r="135" customFormat="1" ht="15" customHeight="1" x14ac:dyDescent="0.3"/>
    <row r="136" customFormat="1" ht="15" customHeight="1" x14ac:dyDescent="0.3"/>
    <row r="137" customFormat="1" ht="15" customHeight="1" x14ac:dyDescent="0.3"/>
    <row r="138" customFormat="1" ht="15" customHeight="1" x14ac:dyDescent="0.3"/>
    <row r="139" customFormat="1" ht="15" customHeight="1" x14ac:dyDescent="0.3"/>
    <row r="140" customFormat="1" ht="15" customHeight="1" x14ac:dyDescent="0.3"/>
    <row r="141" customFormat="1" ht="15" customHeight="1" x14ac:dyDescent="0.3"/>
    <row r="142" customFormat="1" ht="15" customHeight="1" x14ac:dyDescent="0.3"/>
    <row r="143" customFormat="1" ht="15" customHeight="1" x14ac:dyDescent="0.3"/>
    <row r="144" customFormat="1" ht="15" customHeight="1" x14ac:dyDescent="0.3"/>
    <row r="145" customFormat="1" ht="15" customHeight="1" x14ac:dyDescent="0.3"/>
    <row r="146" customFormat="1" ht="15" customHeight="1" x14ac:dyDescent="0.3"/>
    <row r="147" customFormat="1" ht="15" customHeight="1" x14ac:dyDescent="0.3"/>
    <row r="148" customFormat="1" ht="15" customHeight="1" x14ac:dyDescent="0.3"/>
    <row r="149" customFormat="1" ht="15" customHeight="1" x14ac:dyDescent="0.3"/>
    <row r="150" customFormat="1" ht="15" customHeight="1" x14ac:dyDescent="0.3"/>
    <row r="151" customFormat="1" ht="15" customHeight="1" x14ac:dyDescent="0.3"/>
    <row r="152" customFormat="1" ht="15" customHeight="1" x14ac:dyDescent="0.3"/>
    <row r="153" customFormat="1" ht="15" customHeight="1" x14ac:dyDescent="0.3"/>
    <row r="154" customFormat="1" ht="15" customHeight="1" x14ac:dyDescent="0.3"/>
    <row r="155" customFormat="1" ht="15" customHeight="1" x14ac:dyDescent="0.3"/>
    <row r="156" customFormat="1" ht="15" customHeight="1" x14ac:dyDescent="0.3"/>
    <row r="157" customFormat="1" ht="15" customHeight="1" x14ac:dyDescent="0.3"/>
    <row r="158" customFormat="1" ht="15" customHeight="1" x14ac:dyDescent="0.3"/>
    <row r="159" customFormat="1" ht="15" customHeight="1" x14ac:dyDescent="0.3"/>
    <row r="160" customFormat="1" ht="15" customHeight="1" x14ac:dyDescent="0.3"/>
    <row r="161" customFormat="1" ht="15" customHeight="1" x14ac:dyDescent="0.3"/>
    <row r="162" customFormat="1" ht="15" customHeight="1" x14ac:dyDescent="0.3"/>
    <row r="163" customFormat="1" ht="15" customHeight="1" x14ac:dyDescent="0.3"/>
    <row r="164" customFormat="1" ht="15" customHeight="1" x14ac:dyDescent="0.3"/>
    <row r="165" customFormat="1" ht="15" customHeight="1" x14ac:dyDescent="0.3"/>
    <row r="166" customFormat="1" ht="15" customHeight="1" x14ac:dyDescent="0.3"/>
    <row r="167" customFormat="1" ht="15" customHeight="1" x14ac:dyDescent="0.3"/>
    <row r="168" customFormat="1" ht="15" customHeight="1" x14ac:dyDescent="0.3"/>
    <row r="169" customFormat="1" ht="15" customHeight="1" x14ac:dyDescent="0.3"/>
    <row r="170" customFormat="1" ht="15" customHeight="1" x14ac:dyDescent="0.3"/>
    <row r="171" customFormat="1" ht="15" customHeight="1" x14ac:dyDescent="0.3"/>
    <row r="172" customFormat="1" ht="15" customHeight="1" x14ac:dyDescent="0.3"/>
    <row r="173" customFormat="1" ht="15" customHeight="1" x14ac:dyDescent="0.3"/>
    <row r="174" customFormat="1" ht="15" customHeight="1" x14ac:dyDescent="0.3"/>
    <row r="175" customFormat="1" ht="15" customHeight="1" x14ac:dyDescent="0.3"/>
    <row r="176" customFormat="1" ht="15" customHeight="1" x14ac:dyDescent="0.3"/>
    <row r="177" customFormat="1" ht="15" customHeight="1" x14ac:dyDescent="0.3"/>
    <row r="178" customFormat="1" ht="15" customHeight="1" x14ac:dyDescent="0.3"/>
    <row r="179" customFormat="1" ht="15" customHeight="1" x14ac:dyDescent="0.3"/>
    <row r="180" customFormat="1" ht="15" customHeight="1" x14ac:dyDescent="0.3"/>
    <row r="181" customFormat="1" ht="15" customHeight="1" x14ac:dyDescent="0.3"/>
    <row r="182" customFormat="1" ht="15" customHeight="1" x14ac:dyDescent="0.3"/>
    <row r="183" customFormat="1" ht="15" customHeight="1" x14ac:dyDescent="0.3"/>
    <row r="184" customFormat="1" ht="15" customHeight="1" x14ac:dyDescent="0.3"/>
    <row r="185" customFormat="1" ht="15" customHeight="1" x14ac:dyDescent="0.3"/>
    <row r="186" customFormat="1" ht="15" customHeight="1" x14ac:dyDescent="0.3"/>
    <row r="187" customFormat="1" ht="15" customHeight="1" x14ac:dyDescent="0.3"/>
    <row r="188" customFormat="1" ht="15" customHeight="1" x14ac:dyDescent="0.3"/>
    <row r="189" customFormat="1" ht="15" customHeight="1" x14ac:dyDescent="0.3"/>
    <row r="190" customFormat="1" ht="15" customHeight="1" x14ac:dyDescent="0.3"/>
    <row r="191" customFormat="1" ht="15" customHeight="1" x14ac:dyDescent="0.3"/>
    <row r="192" customFormat="1" ht="15" customHeight="1" x14ac:dyDescent="0.3"/>
    <row r="193" customFormat="1" ht="15" customHeight="1" x14ac:dyDescent="0.3"/>
    <row r="194" customFormat="1" ht="15" customHeight="1" x14ac:dyDescent="0.3"/>
    <row r="195" customFormat="1" ht="15" customHeight="1" x14ac:dyDescent="0.3"/>
    <row r="196" customFormat="1" ht="15" customHeight="1" x14ac:dyDescent="0.3"/>
    <row r="197" customFormat="1" ht="15" customHeight="1" x14ac:dyDescent="0.3"/>
    <row r="198" customFormat="1" ht="15" customHeight="1" x14ac:dyDescent="0.3"/>
    <row r="199" customFormat="1" ht="15" customHeight="1" x14ac:dyDescent="0.3"/>
    <row r="200" customFormat="1" ht="15" customHeight="1" x14ac:dyDescent="0.3"/>
    <row r="201" customFormat="1" ht="15" customHeight="1" x14ac:dyDescent="0.3"/>
    <row r="202" customFormat="1" ht="15" customHeight="1" x14ac:dyDescent="0.3"/>
    <row r="203" customFormat="1" ht="15" customHeight="1" x14ac:dyDescent="0.3"/>
    <row r="204" customFormat="1" ht="15" customHeight="1" x14ac:dyDescent="0.3"/>
    <row r="205" customFormat="1" ht="15" customHeight="1" x14ac:dyDescent="0.3"/>
    <row r="206" customFormat="1" ht="15" customHeight="1" x14ac:dyDescent="0.3"/>
    <row r="207" customFormat="1" ht="15" customHeight="1" x14ac:dyDescent="0.3"/>
    <row r="208" customFormat="1" ht="15" customHeight="1" x14ac:dyDescent="0.3"/>
    <row r="209" customFormat="1" ht="15" customHeight="1" x14ac:dyDescent="0.3"/>
    <row r="210" customFormat="1" ht="15" customHeight="1" x14ac:dyDescent="0.3"/>
    <row r="211" customFormat="1" ht="15" customHeight="1" x14ac:dyDescent="0.3"/>
    <row r="212" customFormat="1" ht="15" customHeight="1" x14ac:dyDescent="0.3"/>
    <row r="213" customFormat="1" ht="15" customHeight="1" x14ac:dyDescent="0.3"/>
    <row r="214" customFormat="1" ht="15" customHeight="1" x14ac:dyDescent="0.3"/>
    <row r="215" customFormat="1" ht="15" customHeight="1" x14ac:dyDescent="0.3"/>
    <row r="216" customFormat="1" ht="15" customHeight="1" x14ac:dyDescent="0.3"/>
    <row r="217" customFormat="1" ht="15" customHeight="1" x14ac:dyDescent="0.3"/>
    <row r="218" customFormat="1" ht="15" customHeight="1" x14ac:dyDescent="0.3"/>
    <row r="219" customFormat="1" ht="15" customHeight="1" x14ac:dyDescent="0.3"/>
    <row r="220" customFormat="1" ht="15" customHeight="1" x14ac:dyDescent="0.3"/>
    <row r="221" customFormat="1" ht="15" customHeight="1" x14ac:dyDescent="0.3"/>
    <row r="222" customFormat="1" ht="15" customHeight="1" x14ac:dyDescent="0.3"/>
    <row r="223" customFormat="1" ht="15" customHeight="1" x14ac:dyDescent="0.3"/>
    <row r="224" customFormat="1" ht="15" customHeight="1" x14ac:dyDescent="0.3"/>
    <row r="225" customFormat="1" ht="15" customHeight="1" x14ac:dyDescent="0.3"/>
    <row r="226" customFormat="1" ht="15" customHeight="1" x14ac:dyDescent="0.3"/>
    <row r="227" customFormat="1" ht="15" customHeight="1" x14ac:dyDescent="0.3"/>
    <row r="228" customFormat="1" ht="15" customHeight="1" x14ac:dyDescent="0.3"/>
    <row r="229" customFormat="1" ht="15" customHeight="1" x14ac:dyDescent="0.3"/>
    <row r="230" customFormat="1" ht="15" customHeight="1" x14ac:dyDescent="0.3"/>
    <row r="231" customFormat="1" ht="15" customHeight="1" x14ac:dyDescent="0.3"/>
    <row r="232" customFormat="1" ht="15" customHeight="1" x14ac:dyDescent="0.3"/>
    <row r="233" customFormat="1" ht="15" customHeight="1" x14ac:dyDescent="0.3"/>
    <row r="234" customFormat="1" ht="15" customHeight="1" x14ac:dyDescent="0.3"/>
    <row r="235" customFormat="1" ht="15" customHeight="1" x14ac:dyDescent="0.3"/>
    <row r="236" customFormat="1" ht="15" customHeight="1" x14ac:dyDescent="0.3"/>
    <row r="237" customFormat="1" ht="15" customHeight="1" x14ac:dyDescent="0.3"/>
    <row r="238" customFormat="1" ht="15" customHeight="1" x14ac:dyDescent="0.3"/>
    <row r="239" customFormat="1" ht="15" customHeight="1" x14ac:dyDescent="0.3"/>
    <row r="240" customFormat="1" ht="15" customHeight="1" x14ac:dyDescent="0.3"/>
    <row r="241" customFormat="1" ht="15" customHeight="1" x14ac:dyDescent="0.3"/>
    <row r="242" customFormat="1" ht="15" customHeight="1" x14ac:dyDescent="0.3"/>
    <row r="243" customFormat="1" ht="15" customHeight="1" x14ac:dyDescent="0.3"/>
    <row r="244" customFormat="1" ht="15" customHeight="1" x14ac:dyDescent="0.3"/>
    <row r="245" customFormat="1" ht="15" customHeight="1" x14ac:dyDescent="0.3"/>
    <row r="246" customFormat="1" ht="15" customHeight="1" x14ac:dyDescent="0.3"/>
    <row r="247" customFormat="1" ht="15" customHeight="1" x14ac:dyDescent="0.3"/>
    <row r="248" customFormat="1" ht="15" customHeight="1" x14ac:dyDescent="0.3"/>
    <row r="249" customFormat="1" ht="15" customHeight="1" x14ac:dyDescent="0.3"/>
    <row r="250" customFormat="1" ht="15" customHeight="1" x14ac:dyDescent="0.3"/>
    <row r="251" customFormat="1" ht="15" customHeight="1" x14ac:dyDescent="0.3"/>
    <row r="252" customFormat="1" ht="15" customHeight="1" x14ac:dyDescent="0.3"/>
    <row r="253" customFormat="1" ht="15" customHeight="1" x14ac:dyDescent="0.3"/>
    <row r="254" customFormat="1" ht="15" customHeight="1" x14ac:dyDescent="0.3"/>
    <row r="255" customFormat="1" ht="15" customHeight="1" x14ac:dyDescent="0.3"/>
    <row r="256" customFormat="1" ht="15" customHeight="1" x14ac:dyDescent="0.3"/>
    <row r="257" customFormat="1" ht="15" customHeight="1" x14ac:dyDescent="0.3"/>
    <row r="258" customFormat="1" ht="15" customHeight="1" x14ac:dyDescent="0.3"/>
    <row r="259" customFormat="1" ht="15" customHeight="1" x14ac:dyDescent="0.3"/>
    <row r="260" customFormat="1" ht="15" customHeight="1" x14ac:dyDescent="0.3"/>
    <row r="261" customFormat="1" ht="15" customHeight="1" x14ac:dyDescent="0.3"/>
    <row r="262" customFormat="1" ht="15" customHeight="1" x14ac:dyDescent="0.3"/>
    <row r="263" customFormat="1" ht="15" customHeight="1" x14ac:dyDescent="0.3"/>
    <row r="264" customFormat="1" ht="15" customHeight="1" x14ac:dyDescent="0.3"/>
    <row r="265" customFormat="1" ht="15" customHeight="1" x14ac:dyDescent="0.3"/>
    <row r="266" customFormat="1" ht="15" customHeight="1" x14ac:dyDescent="0.3"/>
    <row r="267" customFormat="1" ht="15" customHeight="1" x14ac:dyDescent="0.3"/>
    <row r="268" customFormat="1" ht="15" customHeight="1" x14ac:dyDescent="0.3"/>
    <row r="269" customFormat="1" ht="15" customHeight="1" x14ac:dyDescent="0.3"/>
    <row r="270" customFormat="1" ht="15" customHeight="1" x14ac:dyDescent="0.3"/>
    <row r="271" customFormat="1" ht="15" customHeight="1" x14ac:dyDescent="0.3"/>
    <row r="272" customFormat="1" ht="15" customHeight="1" x14ac:dyDescent="0.3"/>
    <row r="273" customFormat="1" ht="15" customHeight="1" x14ac:dyDescent="0.3"/>
    <row r="274" customFormat="1" ht="15" customHeight="1" x14ac:dyDescent="0.3"/>
    <row r="275" customFormat="1" ht="15" customHeight="1" x14ac:dyDescent="0.3"/>
    <row r="276" customFormat="1" ht="15" customHeight="1" x14ac:dyDescent="0.3"/>
    <row r="277" customFormat="1" ht="15" customHeight="1" x14ac:dyDescent="0.3"/>
    <row r="278" customFormat="1" ht="15" customHeight="1" x14ac:dyDescent="0.3"/>
    <row r="279" customFormat="1" ht="15" customHeight="1" x14ac:dyDescent="0.3"/>
    <row r="280" customFormat="1" ht="15" customHeight="1" x14ac:dyDescent="0.3"/>
    <row r="281" customFormat="1" ht="15" customHeight="1" x14ac:dyDescent="0.3"/>
    <row r="282" customFormat="1" ht="15" customHeight="1" x14ac:dyDescent="0.3"/>
    <row r="283" customFormat="1" ht="15" customHeight="1" x14ac:dyDescent="0.3"/>
    <row r="284" customFormat="1" ht="15" customHeight="1" x14ac:dyDescent="0.3"/>
    <row r="285" customFormat="1" ht="15" customHeight="1" x14ac:dyDescent="0.3"/>
    <row r="286" customFormat="1" ht="15" customHeight="1" x14ac:dyDescent="0.3"/>
    <row r="287" customFormat="1" ht="15" customHeight="1" x14ac:dyDescent="0.3"/>
    <row r="288" customFormat="1" ht="15" customHeight="1" x14ac:dyDescent="0.3"/>
    <row r="289" customFormat="1" ht="15" customHeight="1" x14ac:dyDescent="0.3"/>
    <row r="290" customFormat="1" ht="15" customHeight="1" x14ac:dyDescent="0.3"/>
    <row r="291" customFormat="1" ht="15" customHeight="1" x14ac:dyDescent="0.3"/>
    <row r="292" customFormat="1" ht="15" customHeight="1" x14ac:dyDescent="0.3"/>
    <row r="293" customFormat="1" ht="15" customHeight="1" x14ac:dyDescent="0.3"/>
    <row r="294" customFormat="1" ht="15" customHeight="1" x14ac:dyDescent="0.3"/>
    <row r="295" customFormat="1" ht="15" customHeight="1" x14ac:dyDescent="0.3"/>
    <row r="296" customFormat="1" ht="15" customHeight="1" x14ac:dyDescent="0.3"/>
    <row r="297" customFormat="1" ht="15" customHeight="1" x14ac:dyDescent="0.3"/>
    <row r="298" customFormat="1" ht="15" customHeight="1" x14ac:dyDescent="0.3"/>
    <row r="299" customFormat="1" ht="15" customHeight="1" x14ac:dyDescent="0.3"/>
    <row r="300" customFormat="1" ht="15" customHeight="1" x14ac:dyDescent="0.3"/>
    <row r="301" customFormat="1" ht="15" customHeight="1" x14ac:dyDescent="0.3"/>
    <row r="302" customFormat="1" ht="15" customHeight="1" x14ac:dyDescent="0.3"/>
    <row r="303" customFormat="1" ht="15" customHeight="1" x14ac:dyDescent="0.3"/>
    <row r="304" customFormat="1" ht="15" customHeight="1" x14ac:dyDescent="0.3"/>
    <row r="305" customFormat="1" ht="15" customHeight="1" x14ac:dyDescent="0.3"/>
    <row r="306" customFormat="1" ht="15" customHeight="1" x14ac:dyDescent="0.3"/>
    <row r="307" customFormat="1" ht="15" customHeight="1" x14ac:dyDescent="0.3"/>
    <row r="308" customFormat="1" ht="15" customHeight="1" x14ac:dyDescent="0.3"/>
    <row r="309" customFormat="1" ht="15" customHeight="1" x14ac:dyDescent="0.3"/>
    <row r="310" customFormat="1" ht="15" customHeight="1" x14ac:dyDescent="0.3"/>
    <row r="311" customFormat="1" ht="15" customHeight="1" x14ac:dyDescent="0.3"/>
    <row r="312" customFormat="1" ht="15" customHeight="1" x14ac:dyDescent="0.3"/>
    <row r="313" customFormat="1" ht="15" customHeight="1" x14ac:dyDescent="0.3"/>
    <row r="314" customFormat="1" ht="15" customHeight="1" x14ac:dyDescent="0.3"/>
    <row r="315" customFormat="1" ht="15" customHeight="1" x14ac:dyDescent="0.3"/>
    <row r="316" customFormat="1" ht="15" customHeight="1" x14ac:dyDescent="0.3"/>
    <row r="317" customFormat="1" ht="15" customHeight="1" x14ac:dyDescent="0.3"/>
    <row r="318" customFormat="1" ht="15" customHeight="1" x14ac:dyDescent="0.3"/>
    <row r="319" customFormat="1" ht="15" customHeight="1" x14ac:dyDescent="0.3"/>
    <row r="320" customFormat="1" ht="15" customHeight="1" x14ac:dyDescent="0.3"/>
    <row r="321" customFormat="1" ht="15" customHeight="1" x14ac:dyDescent="0.3"/>
    <row r="322" customFormat="1" ht="15" customHeight="1" x14ac:dyDescent="0.3"/>
    <row r="323" customFormat="1" ht="15" customHeight="1" x14ac:dyDescent="0.3"/>
    <row r="324" customFormat="1" ht="15" customHeight="1" x14ac:dyDescent="0.3"/>
    <row r="325" customFormat="1" ht="15" customHeight="1" x14ac:dyDescent="0.3"/>
    <row r="326" customFormat="1" ht="15" customHeight="1" x14ac:dyDescent="0.3"/>
    <row r="327" customFormat="1" ht="15" customHeight="1" x14ac:dyDescent="0.3"/>
    <row r="328" customFormat="1" ht="15" customHeight="1" x14ac:dyDescent="0.3"/>
    <row r="329" customFormat="1" ht="15" customHeight="1" x14ac:dyDescent="0.3"/>
    <row r="330" customFormat="1" ht="15" customHeight="1" x14ac:dyDescent="0.3"/>
    <row r="331" customFormat="1" ht="15" customHeight="1" x14ac:dyDescent="0.3"/>
    <row r="332" customFormat="1" ht="15" customHeight="1" x14ac:dyDescent="0.3"/>
    <row r="333" customFormat="1" ht="15" customHeight="1" x14ac:dyDescent="0.3"/>
    <row r="334" customFormat="1" ht="15" customHeight="1" x14ac:dyDescent="0.3"/>
    <row r="335" customFormat="1" ht="15" customHeight="1" x14ac:dyDescent="0.3"/>
    <row r="336" customFormat="1" ht="15" customHeight="1" x14ac:dyDescent="0.3"/>
    <row r="337" customFormat="1" ht="15" customHeight="1" x14ac:dyDescent="0.3"/>
    <row r="338" customFormat="1" ht="15" customHeight="1" x14ac:dyDescent="0.3"/>
    <row r="339" customFormat="1" ht="15" customHeight="1" x14ac:dyDescent="0.3"/>
    <row r="340" customFormat="1" ht="15" customHeight="1" x14ac:dyDescent="0.3"/>
    <row r="341" customFormat="1" ht="15" customHeight="1" x14ac:dyDescent="0.3"/>
    <row r="342" customFormat="1" ht="15" customHeight="1" x14ac:dyDescent="0.3"/>
    <row r="343" customFormat="1" ht="15" customHeight="1" x14ac:dyDescent="0.3"/>
    <row r="344" customFormat="1" ht="15" customHeight="1" x14ac:dyDescent="0.3"/>
    <row r="345" customFormat="1" ht="15" customHeight="1" x14ac:dyDescent="0.3"/>
    <row r="346" customFormat="1" ht="15" customHeight="1" x14ac:dyDescent="0.3"/>
    <row r="347" customFormat="1" ht="15" customHeight="1" x14ac:dyDescent="0.3"/>
    <row r="348" customFormat="1" ht="15" customHeight="1" x14ac:dyDescent="0.3"/>
    <row r="349" customFormat="1" ht="15" customHeight="1" x14ac:dyDescent="0.3"/>
    <row r="350" customFormat="1" ht="15" customHeight="1" x14ac:dyDescent="0.3"/>
    <row r="351" customFormat="1" ht="15" customHeight="1" x14ac:dyDescent="0.3"/>
    <row r="352" customFormat="1" ht="15" customHeight="1" x14ac:dyDescent="0.3"/>
    <row r="353" customFormat="1" ht="15" customHeight="1" x14ac:dyDescent="0.3"/>
    <row r="354" customFormat="1" ht="15" customHeight="1" x14ac:dyDescent="0.3"/>
    <row r="355" customFormat="1" ht="15" customHeight="1" x14ac:dyDescent="0.3"/>
    <row r="356" customFormat="1" ht="15" customHeight="1" x14ac:dyDescent="0.3"/>
    <row r="357" customFormat="1" ht="15" customHeight="1" x14ac:dyDescent="0.3"/>
    <row r="358" customFormat="1" ht="15" customHeight="1" x14ac:dyDescent="0.3"/>
    <row r="359" customFormat="1" ht="15" customHeight="1" x14ac:dyDescent="0.3"/>
    <row r="360" customFormat="1" ht="15" customHeight="1" x14ac:dyDescent="0.3"/>
    <row r="361" customFormat="1" ht="15" customHeight="1" x14ac:dyDescent="0.3"/>
    <row r="362" customFormat="1" ht="15" customHeight="1" x14ac:dyDescent="0.3"/>
    <row r="363" customFormat="1" ht="15" customHeight="1" x14ac:dyDescent="0.3"/>
    <row r="364" customFormat="1" ht="15" customHeight="1" x14ac:dyDescent="0.3"/>
    <row r="365" customFormat="1" ht="15" customHeight="1" x14ac:dyDescent="0.3"/>
    <row r="366" customFormat="1" ht="15" customHeight="1" x14ac:dyDescent="0.3"/>
    <row r="367" customFormat="1" ht="15" customHeight="1" x14ac:dyDescent="0.3"/>
    <row r="368" customFormat="1" ht="15" customHeight="1" x14ac:dyDescent="0.3"/>
    <row r="369" customFormat="1" ht="15" customHeight="1" x14ac:dyDescent="0.3"/>
    <row r="370" customFormat="1" ht="15" customHeight="1" x14ac:dyDescent="0.3"/>
    <row r="371" customFormat="1" ht="15" customHeight="1" x14ac:dyDescent="0.3"/>
    <row r="372" customFormat="1" ht="15" customHeight="1" x14ac:dyDescent="0.3"/>
    <row r="373" customFormat="1" ht="15" customHeight="1" x14ac:dyDescent="0.3"/>
    <row r="374" customFormat="1" ht="15" customHeight="1" x14ac:dyDescent="0.3"/>
    <row r="375" customFormat="1" ht="15" customHeight="1" x14ac:dyDescent="0.3"/>
    <row r="376" customFormat="1" ht="15" customHeight="1" x14ac:dyDescent="0.3"/>
    <row r="377" customFormat="1" ht="15" customHeight="1" x14ac:dyDescent="0.3"/>
    <row r="378" customFormat="1" ht="15" customHeight="1" x14ac:dyDescent="0.3"/>
    <row r="379" customFormat="1" ht="15" customHeight="1" x14ac:dyDescent="0.3"/>
    <row r="380" customFormat="1" ht="15" customHeight="1" x14ac:dyDescent="0.3"/>
    <row r="381" customFormat="1" ht="15" customHeight="1" x14ac:dyDescent="0.3"/>
    <row r="382" customFormat="1" ht="15" customHeight="1" x14ac:dyDescent="0.3"/>
    <row r="383" customFormat="1" ht="15" customHeight="1" x14ac:dyDescent="0.3"/>
    <row r="384" customFormat="1" ht="15" customHeight="1" x14ac:dyDescent="0.3"/>
    <row r="385" customFormat="1" ht="15" customHeight="1" x14ac:dyDescent="0.3"/>
    <row r="386" customFormat="1" ht="15" customHeight="1" x14ac:dyDescent="0.3"/>
    <row r="387" customFormat="1" ht="15" customHeight="1" x14ac:dyDescent="0.3"/>
    <row r="388" customFormat="1" ht="15" customHeight="1" x14ac:dyDescent="0.3"/>
    <row r="389" customFormat="1" ht="15" customHeight="1" x14ac:dyDescent="0.3"/>
    <row r="390" customFormat="1" ht="15" customHeight="1" x14ac:dyDescent="0.3"/>
    <row r="391" customFormat="1" ht="15" customHeight="1" x14ac:dyDescent="0.3"/>
    <row r="392" customFormat="1" ht="15" customHeight="1" x14ac:dyDescent="0.3"/>
    <row r="393" customFormat="1" ht="15" customHeight="1" x14ac:dyDescent="0.3"/>
    <row r="394" customFormat="1" ht="15" customHeight="1" x14ac:dyDescent="0.3"/>
    <row r="395" customFormat="1" ht="15" customHeight="1" x14ac:dyDescent="0.3"/>
    <row r="396" customFormat="1" ht="15" customHeight="1" x14ac:dyDescent="0.3"/>
    <row r="397" customFormat="1" ht="15" customHeight="1" x14ac:dyDescent="0.3"/>
    <row r="398" customFormat="1" ht="15" customHeight="1" x14ac:dyDescent="0.3"/>
    <row r="399" customFormat="1" ht="15" customHeight="1" x14ac:dyDescent="0.3"/>
    <row r="400" customFormat="1" ht="15" customHeight="1" x14ac:dyDescent="0.3"/>
    <row r="401" customFormat="1" ht="15" customHeight="1" x14ac:dyDescent="0.3"/>
    <row r="402" customFormat="1" ht="15" customHeight="1" x14ac:dyDescent="0.3"/>
    <row r="403" customFormat="1" ht="15" customHeight="1" x14ac:dyDescent="0.3"/>
    <row r="404" customFormat="1" ht="15" customHeight="1" x14ac:dyDescent="0.3"/>
    <row r="405" customFormat="1" ht="15" customHeight="1" x14ac:dyDescent="0.3"/>
    <row r="406" customFormat="1" ht="15" customHeight="1" x14ac:dyDescent="0.3"/>
    <row r="407" customFormat="1" ht="15" customHeight="1" x14ac:dyDescent="0.3"/>
    <row r="408" customFormat="1" ht="15" customHeight="1" x14ac:dyDescent="0.3"/>
    <row r="409" customFormat="1" ht="15" customHeight="1" x14ac:dyDescent="0.3"/>
    <row r="410" customFormat="1" ht="15" customHeight="1" x14ac:dyDescent="0.3"/>
    <row r="411" customFormat="1" ht="15" customHeight="1" x14ac:dyDescent="0.3"/>
    <row r="412" customFormat="1" ht="15" customHeight="1" x14ac:dyDescent="0.3"/>
    <row r="413" customFormat="1" ht="15" customHeight="1" x14ac:dyDescent="0.3"/>
    <row r="414" customFormat="1" ht="15" customHeight="1" x14ac:dyDescent="0.3"/>
    <row r="415" customFormat="1" ht="15" customHeight="1" x14ac:dyDescent="0.3"/>
    <row r="416" customFormat="1" ht="15" customHeight="1" x14ac:dyDescent="0.3"/>
    <row r="417" customFormat="1" ht="15" customHeight="1" x14ac:dyDescent="0.3"/>
    <row r="418" customFormat="1" ht="15" customHeight="1" x14ac:dyDescent="0.3"/>
    <row r="419" customFormat="1" ht="15" customHeight="1" x14ac:dyDescent="0.3"/>
    <row r="420" customFormat="1" ht="15" customHeight="1" x14ac:dyDescent="0.3"/>
    <row r="421" customFormat="1" ht="15" customHeight="1" x14ac:dyDescent="0.3"/>
    <row r="422" customFormat="1" ht="15" customHeight="1" x14ac:dyDescent="0.3"/>
    <row r="423" customFormat="1" ht="15" customHeight="1" x14ac:dyDescent="0.3"/>
    <row r="424" customFormat="1" ht="15" customHeight="1" x14ac:dyDescent="0.3"/>
    <row r="425" customFormat="1" ht="15" customHeight="1" x14ac:dyDescent="0.3"/>
    <row r="426" customFormat="1" ht="15" customHeight="1" x14ac:dyDescent="0.3"/>
    <row r="427" customFormat="1" ht="15" customHeight="1" x14ac:dyDescent="0.3"/>
    <row r="428" customFormat="1" ht="15" customHeight="1" x14ac:dyDescent="0.3"/>
    <row r="429" customFormat="1" ht="15" customHeight="1" x14ac:dyDescent="0.3"/>
    <row r="430" customFormat="1" ht="15" customHeight="1" x14ac:dyDescent="0.3"/>
    <row r="431" customFormat="1" ht="15" customHeight="1" x14ac:dyDescent="0.3"/>
    <row r="432" customFormat="1" ht="15" customHeight="1" x14ac:dyDescent="0.3"/>
    <row r="433" customFormat="1" ht="15" customHeight="1" x14ac:dyDescent="0.3"/>
    <row r="434" customFormat="1" ht="15" customHeight="1" x14ac:dyDescent="0.3"/>
    <row r="435" customFormat="1" ht="15" customHeight="1" x14ac:dyDescent="0.3"/>
    <row r="436" customFormat="1" ht="15" customHeight="1" x14ac:dyDescent="0.3"/>
    <row r="437" customFormat="1" ht="15" customHeight="1" x14ac:dyDescent="0.3"/>
    <row r="438" customFormat="1" ht="15" customHeight="1" x14ac:dyDescent="0.3"/>
    <row r="439" customFormat="1" ht="15" customHeight="1" x14ac:dyDescent="0.3"/>
    <row r="440" customFormat="1" ht="15" customHeight="1" x14ac:dyDescent="0.3"/>
    <row r="441" customFormat="1" ht="15" customHeight="1" x14ac:dyDescent="0.3"/>
    <row r="442" customFormat="1" ht="15" customHeight="1" x14ac:dyDescent="0.3"/>
    <row r="443" customFormat="1" ht="15" customHeight="1" x14ac:dyDescent="0.3"/>
    <row r="444" customFormat="1" ht="15" customHeight="1" x14ac:dyDescent="0.3"/>
    <row r="445" customFormat="1" ht="15" customHeight="1" x14ac:dyDescent="0.3"/>
    <row r="446" customFormat="1" ht="15" customHeight="1" x14ac:dyDescent="0.3"/>
    <row r="447" customFormat="1" ht="15" customHeight="1" x14ac:dyDescent="0.3"/>
    <row r="448" customFormat="1" ht="15" customHeight="1" x14ac:dyDescent="0.3"/>
    <row r="449" customFormat="1" ht="15" customHeight="1" x14ac:dyDescent="0.3"/>
    <row r="450" customFormat="1" ht="15" customHeight="1" x14ac:dyDescent="0.3"/>
    <row r="451" customFormat="1" ht="15" customHeight="1" x14ac:dyDescent="0.3"/>
    <row r="452" customFormat="1" ht="15" customHeight="1" x14ac:dyDescent="0.3"/>
    <row r="453" customFormat="1" ht="15" customHeight="1" x14ac:dyDescent="0.3"/>
    <row r="454" customFormat="1" ht="15" customHeight="1" x14ac:dyDescent="0.3"/>
    <row r="455" customFormat="1" ht="15" customHeight="1" x14ac:dyDescent="0.3"/>
    <row r="456" customFormat="1" ht="15" customHeight="1" x14ac:dyDescent="0.3"/>
    <row r="457" customFormat="1" ht="15" customHeight="1" x14ac:dyDescent="0.3"/>
    <row r="458" customFormat="1" ht="15" customHeight="1" x14ac:dyDescent="0.3"/>
    <row r="459" customFormat="1" ht="15" customHeight="1" x14ac:dyDescent="0.3"/>
    <row r="460" customFormat="1" ht="15" customHeight="1" x14ac:dyDescent="0.3"/>
    <row r="461" customFormat="1" ht="15" customHeight="1" x14ac:dyDescent="0.3"/>
    <row r="462" customFormat="1" ht="15" customHeight="1" x14ac:dyDescent="0.3"/>
    <row r="463" customFormat="1" ht="15" customHeight="1" x14ac:dyDescent="0.3"/>
    <row r="464" customFormat="1" ht="15" customHeight="1" x14ac:dyDescent="0.3"/>
    <row r="465" customFormat="1" ht="15" customHeight="1" x14ac:dyDescent="0.3"/>
    <row r="466" customFormat="1" ht="15" customHeight="1" x14ac:dyDescent="0.3"/>
    <row r="467" customFormat="1" ht="15" customHeight="1" x14ac:dyDescent="0.3"/>
    <row r="468" customFormat="1" ht="15" customHeight="1" x14ac:dyDescent="0.3"/>
    <row r="469" customFormat="1" ht="15" customHeight="1" x14ac:dyDescent="0.3"/>
    <row r="470" customFormat="1" ht="15" customHeight="1" x14ac:dyDescent="0.3"/>
    <row r="471" customFormat="1" ht="15" customHeight="1" x14ac:dyDescent="0.3"/>
    <row r="472" customFormat="1" ht="15" customHeight="1" x14ac:dyDescent="0.3"/>
    <row r="473" customFormat="1" ht="15" customHeight="1" x14ac:dyDescent="0.3"/>
    <row r="474" customFormat="1" ht="15" customHeight="1" x14ac:dyDescent="0.3"/>
    <row r="475" customFormat="1" ht="15" customHeight="1" x14ac:dyDescent="0.3"/>
    <row r="476" customFormat="1" ht="15" customHeight="1" x14ac:dyDescent="0.3"/>
    <row r="477" customFormat="1" ht="15" customHeight="1" x14ac:dyDescent="0.3"/>
    <row r="478" customFormat="1" ht="15" customHeight="1" x14ac:dyDescent="0.3"/>
    <row r="479" customFormat="1" ht="15" customHeight="1" x14ac:dyDescent="0.3"/>
    <row r="480" customFormat="1" ht="15" customHeight="1" x14ac:dyDescent="0.3"/>
    <row r="481" customFormat="1" ht="15" customHeight="1" x14ac:dyDescent="0.3"/>
    <row r="482" customFormat="1" ht="15" customHeight="1" x14ac:dyDescent="0.3"/>
    <row r="483" customFormat="1" ht="15" customHeight="1" x14ac:dyDescent="0.3"/>
    <row r="484" customFormat="1" ht="15" customHeight="1" x14ac:dyDescent="0.3"/>
    <row r="485" customFormat="1" ht="15" customHeight="1" x14ac:dyDescent="0.3"/>
    <row r="486" customFormat="1" ht="15" customHeight="1" x14ac:dyDescent="0.3"/>
    <row r="487" customFormat="1" ht="15" customHeight="1" x14ac:dyDescent="0.3"/>
    <row r="488" customFormat="1" ht="15" customHeight="1" x14ac:dyDescent="0.3"/>
    <row r="489" customFormat="1" ht="15" customHeight="1" x14ac:dyDescent="0.3"/>
    <row r="490" customFormat="1" ht="15" customHeight="1" x14ac:dyDescent="0.3"/>
    <row r="491" customFormat="1" ht="15" customHeight="1" x14ac:dyDescent="0.3"/>
    <row r="492" customFormat="1" ht="15" customHeight="1" x14ac:dyDescent="0.3"/>
    <row r="493" customFormat="1" ht="15" customHeight="1" x14ac:dyDescent="0.3"/>
    <row r="494" customFormat="1" ht="15" customHeight="1" x14ac:dyDescent="0.3"/>
    <row r="495" customFormat="1" ht="15" customHeight="1" x14ac:dyDescent="0.3"/>
    <row r="496" customFormat="1" ht="15" customHeight="1" x14ac:dyDescent="0.3"/>
    <row r="497" customFormat="1" ht="15" customHeight="1" x14ac:dyDescent="0.3"/>
    <row r="498" customFormat="1" ht="15" customHeight="1" x14ac:dyDescent="0.3"/>
    <row r="499" customFormat="1" ht="15" customHeight="1" x14ac:dyDescent="0.3"/>
    <row r="500" customFormat="1" ht="15" customHeight="1" x14ac:dyDescent="0.3"/>
    <row r="501" customFormat="1" ht="15" customHeight="1" x14ac:dyDescent="0.3"/>
    <row r="502" customFormat="1" ht="15" customHeight="1" x14ac:dyDescent="0.3"/>
    <row r="503" customFormat="1" ht="15" customHeight="1" x14ac:dyDescent="0.3"/>
    <row r="504" customFormat="1" ht="15" customHeight="1" x14ac:dyDescent="0.3"/>
    <row r="505" customFormat="1" ht="15" customHeight="1" x14ac:dyDescent="0.3"/>
    <row r="506" customFormat="1" ht="15" customHeight="1" x14ac:dyDescent="0.3"/>
    <row r="507" customFormat="1" ht="15" customHeight="1" x14ac:dyDescent="0.3"/>
    <row r="508" customFormat="1" ht="15" customHeight="1" x14ac:dyDescent="0.3"/>
    <row r="509" customFormat="1" ht="15" customHeight="1" x14ac:dyDescent="0.3"/>
    <row r="510" customFormat="1" ht="15" customHeight="1" x14ac:dyDescent="0.3"/>
    <row r="511" customFormat="1" ht="15" customHeight="1" x14ac:dyDescent="0.3"/>
    <row r="512" customFormat="1" ht="15" customHeight="1" x14ac:dyDescent="0.3"/>
    <row r="513" customFormat="1" ht="15" customHeight="1" x14ac:dyDescent="0.3"/>
    <row r="514" customFormat="1" ht="15" customHeight="1" x14ac:dyDescent="0.3"/>
    <row r="515" customFormat="1" ht="15" customHeight="1" x14ac:dyDescent="0.3"/>
    <row r="516" customFormat="1" ht="15" customHeight="1" x14ac:dyDescent="0.3"/>
    <row r="517" customFormat="1" ht="15" customHeight="1" x14ac:dyDescent="0.3"/>
    <row r="518" customFormat="1" ht="15" customHeight="1" x14ac:dyDescent="0.3"/>
    <row r="519" customFormat="1" ht="15" customHeight="1" x14ac:dyDescent="0.3"/>
    <row r="520" customFormat="1" ht="15" customHeight="1" x14ac:dyDescent="0.3"/>
    <row r="521" customFormat="1" ht="15" customHeight="1" x14ac:dyDescent="0.3"/>
    <row r="522" customFormat="1" ht="15" customHeight="1" x14ac:dyDescent="0.3"/>
    <row r="523" customFormat="1" ht="15" customHeight="1" x14ac:dyDescent="0.3"/>
    <row r="524" customFormat="1" ht="15" customHeight="1" x14ac:dyDescent="0.3"/>
    <row r="525" customFormat="1" ht="15" customHeight="1" x14ac:dyDescent="0.3"/>
    <row r="526" customFormat="1" ht="15" customHeight="1" x14ac:dyDescent="0.3"/>
    <row r="527" customFormat="1" ht="15" customHeight="1" x14ac:dyDescent="0.3"/>
    <row r="528" customFormat="1" ht="15" customHeight="1" x14ac:dyDescent="0.3"/>
    <row r="529" customFormat="1" ht="15" customHeight="1" x14ac:dyDescent="0.3"/>
    <row r="530" customFormat="1" ht="15" customHeight="1" x14ac:dyDescent="0.3"/>
    <row r="531" customFormat="1" ht="15" customHeight="1" x14ac:dyDescent="0.3"/>
    <row r="532" customFormat="1" ht="15" customHeight="1" x14ac:dyDescent="0.3"/>
    <row r="533" customFormat="1" ht="15" customHeight="1" x14ac:dyDescent="0.3"/>
    <row r="534" customFormat="1" ht="15" customHeight="1" x14ac:dyDescent="0.3"/>
    <row r="535" customFormat="1" ht="15" customHeight="1" x14ac:dyDescent="0.3"/>
    <row r="536" customFormat="1" ht="15" customHeight="1" x14ac:dyDescent="0.3"/>
    <row r="537" customFormat="1" ht="15" customHeight="1" x14ac:dyDescent="0.3"/>
    <row r="538" customFormat="1" ht="15" customHeight="1" x14ac:dyDescent="0.3"/>
    <row r="539" customFormat="1" ht="15" customHeight="1" x14ac:dyDescent="0.3"/>
    <row r="540" customFormat="1" ht="15" customHeight="1" x14ac:dyDescent="0.3"/>
    <row r="541" customFormat="1" ht="15" customHeight="1" x14ac:dyDescent="0.3"/>
    <row r="542" customFormat="1" ht="15" customHeight="1" x14ac:dyDescent="0.3"/>
    <row r="543" customFormat="1" ht="15" customHeight="1" x14ac:dyDescent="0.3"/>
    <row r="544" customFormat="1" ht="15" customHeight="1" x14ac:dyDescent="0.3"/>
    <row r="545" customFormat="1" ht="15" customHeight="1" x14ac:dyDescent="0.3"/>
    <row r="546" customFormat="1" ht="15" customHeight="1" x14ac:dyDescent="0.3"/>
    <row r="547" customFormat="1" ht="15" customHeight="1" x14ac:dyDescent="0.3"/>
    <row r="548" customFormat="1" ht="15" customHeight="1" x14ac:dyDescent="0.3"/>
    <row r="549" customFormat="1" ht="15" customHeight="1" x14ac:dyDescent="0.3"/>
    <row r="550" customFormat="1" ht="15" customHeight="1" x14ac:dyDescent="0.3"/>
    <row r="551" customFormat="1" ht="15" customHeight="1" x14ac:dyDescent="0.3"/>
    <row r="552" customFormat="1" ht="15" customHeight="1" x14ac:dyDescent="0.3"/>
    <row r="553" customFormat="1" ht="15" customHeight="1" x14ac:dyDescent="0.3"/>
    <row r="554" customFormat="1" ht="15" customHeight="1" x14ac:dyDescent="0.3"/>
    <row r="555" customFormat="1" ht="15" customHeight="1" x14ac:dyDescent="0.3"/>
    <row r="556" customFormat="1" ht="15" customHeight="1" x14ac:dyDescent="0.3"/>
    <row r="557" customFormat="1" ht="15" customHeight="1" x14ac:dyDescent="0.3"/>
    <row r="558" customFormat="1" ht="15" customHeight="1" x14ac:dyDescent="0.3"/>
    <row r="559" customFormat="1" ht="15" customHeight="1" x14ac:dyDescent="0.3"/>
    <row r="560" customFormat="1" ht="15" customHeight="1" x14ac:dyDescent="0.3"/>
    <row r="561" customFormat="1" ht="15" customHeight="1" x14ac:dyDescent="0.3"/>
    <row r="562" customFormat="1" ht="15" customHeight="1" x14ac:dyDescent="0.3"/>
    <row r="563" customFormat="1" ht="15" customHeight="1" x14ac:dyDescent="0.3"/>
    <row r="564" customFormat="1" ht="15" customHeight="1" x14ac:dyDescent="0.3"/>
    <row r="565" customFormat="1" ht="15" customHeight="1" x14ac:dyDescent="0.3"/>
    <row r="566" customFormat="1" ht="15" customHeight="1" x14ac:dyDescent="0.3"/>
    <row r="567" customFormat="1" ht="15" customHeight="1" x14ac:dyDescent="0.3"/>
    <row r="568" customFormat="1" ht="15" customHeight="1" x14ac:dyDescent="0.3"/>
    <row r="569" customFormat="1" ht="15" customHeight="1" x14ac:dyDescent="0.3"/>
    <row r="570" customFormat="1" ht="15" customHeight="1" x14ac:dyDescent="0.3"/>
    <row r="571" customFormat="1" ht="15" customHeight="1" x14ac:dyDescent="0.3"/>
    <row r="572" customFormat="1" ht="15" customHeight="1" x14ac:dyDescent="0.3"/>
    <row r="573" customFormat="1" ht="15" customHeight="1" x14ac:dyDescent="0.3"/>
    <row r="574" customFormat="1" ht="15" customHeight="1" x14ac:dyDescent="0.3"/>
    <row r="575" customFormat="1" ht="15" customHeight="1" x14ac:dyDescent="0.3"/>
    <row r="576" customFormat="1" ht="15" customHeight="1" x14ac:dyDescent="0.3"/>
    <row r="577" customFormat="1" ht="15" customHeight="1" x14ac:dyDescent="0.3"/>
    <row r="578" customFormat="1" ht="15" customHeight="1" x14ac:dyDescent="0.3"/>
    <row r="579" customFormat="1" ht="15" customHeight="1" x14ac:dyDescent="0.3"/>
    <row r="580" customFormat="1" ht="15" customHeight="1" x14ac:dyDescent="0.3"/>
    <row r="581" customFormat="1" ht="15" customHeight="1" x14ac:dyDescent="0.3"/>
    <row r="582" customFormat="1" ht="15" customHeight="1" x14ac:dyDescent="0.3"/>
    <row r="583" customFormat="1" ht="15" customHeight="1" x14ac:dyDescent="0.3"/>
    <row r="584" customFormat="1" ht="15" customHeight="1" x14ac:dyDescent="0.3"/>
    <row r="585" customFormat="1" ht="15" customHeight="1" x14ac:dyDescent="0.3"/>
    <row r="586" customFormat="1" ht="15" customHeight="1" x14ac:dyDescent="0.3"/>
    <row r="587" customFormat="1" ht="15" customHeight="1" x14ac:dyDescent="0.3"/>
    <row r="588" customFormat="1" ht="15" customHeight="1" x14ac:dyDescent="0.3"/>
    <row r="589" customFormat="1" ht="15" customHeight="1" x14ac:dyDescent="0.3"/>
    <row r="590" customFormat="1" ht="15" customHeight="1" x14ac:dyDescent="0.3"/>
    <row r="591" customFormat="1" ht="15" customHeight="1" x14ac:dyDescent="0.3"/>
    <row r="592" customFormat="1" ht="15" customHeight="1" x14ac:dyDescent="0.3"/>
    <row r="593" customFormat="1" ht="15" customHeight="1" x14ac:dyDescent="0.3"/>
    <row r="594" customFormat="1" ht="15" customHeight="1" x14ac:dyDescent="0.3"/>
    <row r="595" customFormat="1" ht="15" customHeight="1" x14ac:dyDescent="0.3"/>
    <row r="596" customFormat="1" ht="15" customHeight="1" x14ac:dyDescent="0.3"/>
    <row r="597" customFormat="1" ht="15" customHeight="1" x14ac:dyDescent="0.3"/>
    <row r="598" customFormat="1" ht="15" customHeight="1" x14ac:dyDescent="0.3"/>
    <row r="599" customFormat="1" ht="15" customHeight="1" x14ac:dyDescent="0.3"/>
    <row r="600" customFormat="1" ht="15" customHeight="1" x14ac:dyDescent="0.3"/>
    <row r="601" customFormat="1" ht="15" customHeight="1" x14ac:dyDescent="0.3"/>
    <row r="602" customFormat="1" ht="15" customHeight="1" x14ac:dyDescent="0.3"/>
    <row r="603" customFormat="1" ht="15" customHeight="1" x14ac:dyDescent="0.3"/>
    <row r="604" customFormat="1" ht="15" customHeight="1" x14ac:dyDescent="0.3"/>
    <row r="605" customFormat="1" ht="15" customHeight="1" x14ac:dyDescent="0.3"/>
    <row r="606" customFormat="1" ht="15" customHeight="1" x14ac:dyDescent="0.3"/>
    <row r="607" customFormat="1" ht="15" customHeight="1" x14ac:dyDescent="0.3"/>
    <row r="608" customFormat="1" ht="15" customHeight="1" x14ac:dyDescent="0.3"/>
    <row r="609" customFormat="1" ht="15" customHeight="1" x14ac:dyDescent="0.3"/>
    <row r="610" customFormat="1" ht="15" customHeight="1" x14ac:dyDescent="0.3"/>
    <row r="611" customFormat="1" ht="15" customHeight="1" x14ac:dyDescent="0.3"/>
    <row r="612" customFormat="1" ht="15" customHeight="1" x14ac:dyDescent="0.3"/>
    <row r="613" customFormat="1" ht="15" customHeight="1" x14ac:dyDescent="0.3"/>
    <row r="614" customFormat="1" ht="15" customHeight="1" x14ac:dyDescent="0.3"/>
    <row r="615" customFormat="1" ht="15" customHeight="1" x14ac:dyDescent="0.3"/>
    <row r="616" customFormat="1" ht="15" customHeight="1" x14ac:dyDescent="0.3"/>
    <row r="617" customFormat="1" ht="15" customHeight="1" x14ac:dyDescent="0.3"/>
    <row r="618" customFormat="1" ht="15" customHeight="1" x14ac:dyDescent="0.3"/>
    <row r="619" customFormat="1" ht="15" customHeight="1" x14ac:dyDescent="0.3"/>
    <row r="620" customFormat="1" ht="15" customHeight="1" x14ac:dyDescent="0.3"/>
    <row r="621" customFormat="1" ht="15" customHeight="1" x14ac:dyDescent="0.3"/>
    <row r="622" customFormat="1" ht="15" customHeight="1" x14ac:dyDescent="0.3"/>
    <row r="623" customFormat="1" ht="15" customHeight="1" x14ac:dyDescent="0.3"/>
    <row r="624" customFormat="1" ht="15" customHeight="1" x14ac:dyDescent="0.3"/>
    <row r="625" customFormat="1" ht="15" customHeight="1" x14ac:dyDescent="0.3"/>
    <row r="626" customFormat="1" ht="15" customHeight="1" x14ac:dyDescent="0.3"/>
    <row r="627" customFormat="1" ht="15" customHeight="1" x14ac:dyDescent="0.3"/>
    <row r="628" customFormat="1" ht="15" customHeight="1" x14ac:dyDescent="0.3"/>
    <row r="629" customFormat="1" ht="15" customHeight="1" x14ac:dyDescent="0.3"/>
    <row r="630" customFormat="1" ht="15" customHeight="1" x14ac:dyDescent="0.3"/>
    <row r="631" customFormat="1" ht="15" customHeight="1" x14ac:dyDescent="0.3"/>
    <row r="632" customFormat="1" ht="15" customHeight="1" x14ac:dyDescent="0.3"/>
    <row r="633" customFormat="1" ht="15" customHeight="1" x14ac:dyDescent="0.3"/>
    <row r="634" customFormat="1" ht="15" customHeight="1" x14ac:dyDescent="0.3"/>
    <row r="635" customFormat="1" ht="15" customHeight="1" x14ac:dyDescent="0.3"/>
    <row r="636" customFormat="1" ht="15" customHeight="1" x14ac:dyDescent="0.3"/>
    <row r="637" customFormat="1" ht="15" customHeight="1" x14ac:dyDescent="0.3"/>
    <row r="638" customFormat="1" ht="15" customHeight="1" x14ac:dyDescent="0.3"/>
    <row r="639" customFormat="1" ht="15" customHeight="1" x14ac:dyDescent="0.3"/>
    <row r="640" customFormat="1" ht="15" customHeight="1" x14ac:dyDescent="0.3"/>
    <row r="641" customFormat="1" ht="15" customHeight="1" x14ac:dyDescent="0.3"/>
    <row r="642" customFormat="1" ht="15" customHeight="1" x14ac:dyDescent="0.3"/>
    <row r="643" customFormat="1" ht="15" customHeight="1" x14ac:dyDescent="0.3"/>
    <row r="644" customFormat="1" ht="15" customHeight="1" x14ac:dyDescent="0.3"/>
    <row r="645" customFormat="1" ht="15" customHeight="1" x14ac:dyDescent="0.3"/>
    <row r="646" customFormat="1" ht="15" customHeight="1" x14ac:dyDescent="0.3"/>
    <row r="647" customFormat="1" ht="15" customHeight="1" x14ac:dyDescent="0.3"/>
    <row r="648" customFormat="1" ht="15" customHeight="1" x14ac:dyDescent="0.3"/>
    <row r="649" customFormat="1" ht="15" customHeight="1" x14ac:dyDescent="0.3"/>
    <row r="650" customFormat="1" ht="15" customHeight="1" x14ac:dyDescent="0.3"/>
    <row r="651" customFormat="1" ht="15" customHeight="1" x14ac:dyDescent="0.3"/>
    <row r="652" customFormat="1" ht="15" customHeight="1" x14ac:dyDescent="0.3"/>
    <row r="653" customFormat="1" ht="15" customHeight="1" x14ac:dyDescent="0.3"/>
    <row r="654" customFormat="1" ht="15" customHeight="1" x14ac:dyDescent="0.3"/>
    <row r="655" customFormat="1" ht="15" customHeight="1" x14ac:dyDescent="0.3"/>
    <row r="656" customFormat="1" ht="15" customHeight="1" x14ac:dyDescent="0.3"/>
    <row r="657" customFormat="1" ht="15" customHeight="1" x14ac:dyDescent="0.3"/>
    <row r="658" customFormat="1" ht="15" customHeight="1" x14ac:dyDescent="0.3"/>
    <row r="659" customFormat="1" ht="15" customHeight="1" x14ac:dyDescent="0.3"/>
    <row r="660" customFormat="1" ht="15" customHeight="1" x14ac:dyDescent="0.3"/>
    <row r="661" customFormat="1" ht="15" customHeight="1" x14ac:dyDescent="0.3"/>
    <row r="662" customFormat="1" ht="15" customHeight="1" x14ac:dyDescent="0.3"/>
    <row r="663" customFormat="1" ht="15" customHeight="1" x14ac:dyDescent="0.3"/>
    <row r="664" customFormat="1" ht="15" customHeight="1" x14ac:dyDescent="0.3"/>
    <row r="665" customFormat="1" ht="15" customHeight="1" x14ac:dyDescent="0.3"/>
    <row r="666" customFormat="1" ht="15" customHeight="1" x14ac:dyDescent="0.3"/>
    <row r="667" customFormat="1" ht="15" customHeight="1" x14ac:dyDescent="0.3"/>
    <row r="668" customFormat="1" ht="15" customHeight="1" x14ac:dyDescent="0.3"/>
    <row r="669" customFormat="1" ht="15" customHeight="1" x14ac:dyDescent="0.3"/>
    <row r="670" customFormat="1" ht="15" customHeight="1" x14ac:dyDescent="0.3"/>
    <row r="671" customFormat="1" ht="15" customHeight="1" x14ac:dyDescent="0.3"/>
    <row r="672" customFormat="1" ht="15" customHeight="1" x14ac:dyDescent="0.3"/>
    <row r="673" customFormat="1" ht="15" customHeight="1" x14ac:dyDescent="0.3"/>
    <row r="674" customFormat="1" ht="15" customHeight="1" x14ac:dyDescent="0.3"/>
    <row r="675" customFormat="1" ht="15" customHeight="1" x14ac:dyDescent="0.3"/>
    <row r="676" customFormat="1" ht="15" customHeight="1" x14ac:dyDescent="0.3"/>
    <row r="677" customFormat="1" ht="15" customHeight="1" x14ac:dyDescent="0.3"/>
    <row r="678" customFormat="1" ht="15" customHeight="1" x14ac:dyDescent="0.3"/>
    <row r="679" customFormat="1" ht="15" customHeight="1" x14ac:dyDescent="0.3"/>
    <row r="680" customFormat="1" ht="15" customHeight="1" x14ac:dyDescent="0.3"/>
    <row r="681" customFormat="1" ht="15" customHeight="1" x14ac:dyDescent="0.3"/>
    <row r="682" customFormat="1" ht="15" customHeight="1" x14ac:dyDescent="0.3"/>
    <row r="683" customFormat="1" ht="15" customHeight="1" x14ac:dyDescent="0.3"/>
    <row r="684" customFormat="1" ht="15" customHeight="1" x14ac:dyDescent="0.3"/>
    <row r="685" customFormat="1" ht="15" customHeight="1" x14ac:dyDescent="0.3"/>
    <row r="686" customFormat="1" ht="15" customHeight="1" x14ac:dyDescent="0.3"/>
    <row r="687" customFormat="1" ht="15" customHeight="1" x14ac:dyDescent="0.3"/>
    <row r="688" customFormat="1" ht="15" customHeight="1" x14ac:dyDescent="0.3"/>
    <row r="689" customFormat="1" ht="15" customHeight="1" x14ac:dyDescent="0.3"/>
    <row r="690" customFormat="1" ht="15" customHeight="1" x14ac:dyDescent="0.3"/>
    <row r="691" customFormat="1" ht="15" customHeight="1" x14ac:dyDescent="0.3"/>
    <row r="692" customFormat="1" ht="15" customHeight="1" x14ac:dyDescent="0.3"/>
    <row r="693" customFormat="1" ht="15" customHeight="1" x14ac:dyDescent="0.3"/>
    <row r="694" customFormat="1" ht="15" customHeight="1" x14ac:dyDescent="0.3"/>
    <row r="695" customFormat="1" ht="15" customHeight="1" x14ac:dyDescent="0.3"/>
    <row r="696" customFormat="1" ht="15" customHeight="1" x14ac:dyDescent="0.3"/>
    <row r="697" customFormat="1" ht="15" customHeight="1" x14ac:dyDescent="0.3"/>
    <row r="698" customFormat="1" ht="15" customHeight="1" x14ac:dyDescent="0.3"/>
    <row r="699" customFormat="1" ht="15" customHeight="1" x14ac:dyDescent="0.3"/>
    <row r="700" customFormat="1" ht="15" customHeight="1" x14ac:dyDescent="0.3"/>
    <row r="701" customFormat="1" ht="15" customHeight="1" x14ac:dyDescent="0.3"/>
    <row r="702" customFormat="1" ht="15" customHeight="1" x14ac:dyDescent="0.3"/>
    <row r="703" customFormat="1" ht="15" customHeight="1" x14ac:dyDescent="0.3"/>
    <row r="704" customFormat="1" ht="15" customHeight="1" x14ac:dyDescent="0.3"/>
    <row r="705" customFormat="1" ht="15" customHeight="1" x14ac:dyDescent="0.3"/>
    <row r="706" customFormat="1" ht="15" customHeight="1" x14ac:dyDescent="0.3"/>
    <row r="707" customFormat="1" ht="15" customHeight="1" x14ac:dyDescent="0.3"/>
    <row r="708" customFormat="1" ht="15" customHeight="1" x14ac:dyDescent="0.3"/>
    <row r="709" customFormat="1" ht="15" customHeight="1" x14ac:dyDescent="0.3"/>
    <row r="710" customFormat="1" ht="15" customHeight="1" x14ac:dyDescent="0.3"/>
    <row r="711" customFormat="1" ht="15" customHeight="1" x14ac:dyDescent="0.3"/>
    <row r="712" customFormat="1" ht="15" customHeight="1" x14ac:dyDescent="0.3"/>
    <row r="713" customFormat="1" ht="15" customHeight="1" x14ac:dyDescent="0.3"/>
    <row r="714" customFormat="1" ht="15" customHeight="1" x14ac:dyDescent="0.3"/>
    <row r="715" customFormat="1" ht="15" customHeight="1" x14ac:dyDescent="0.3"/>
    <row r="716" customFormat="1" ht="15" customHeight="1" x14ac:dyDescent="0.3"/>
    <row r="717" customFormat="1" ht="15" customHeight="1" x14ac:dyDescent="0.3"/>
    <row r="718" customFormat="1" ht="15" customHeight="1" x14ac:dyDescent="0.3"/>
    <row r="719" customFormat="1" ht="15" customHeight="1" x14ac:dyDescent="0.3"/>
    <row r="720" customFormat="1" ht="15" customHeight="1" x14ac:dyDescent="0.3"/>
    <row r="721" customFormat="1" ht="15" customHeight="1" x14ac:dyDescent="0.3"/>
    <row r="722" customFormat="1" ht="15" customHeight="1" x14ac:dyDescent="0.3"/>
    <row r="723" customFormat="1" ht="15" customHeight="1" x14ac:dyDescent="0.3"/>
    <row r="724" customFormat="1" ht="15" customHeight="1" x14ac:dyDescent="0.3"/>
    <row r="725" customFormat="1" ht="15" customHeight="1" x14ac:dyDescent="0.3"/>
    <row r="726" customFormat="1" ht="15" customHeight="1" x14ac:dyDescent="0.3"/>
    <row r="727" customFormat="1" ht="15" customHeight="1" x14ac:dyDescent="0.3"/>
    <row r="728" customFormat="1" ht="15" customHeight="1" x14ac:dyDescent="0.3"/>
    <row r="729" customFormat="1" ht="15" customHeight="1" x14ac:dyDescent="0.3"/>
    <row r="730" customFormat="1" ht="15" customHeight="1" x14ac:dyDescent="0.3"/>
    <row r="731" customFormat="1" ht="15" customHeight="1" x14ac:dyDescent="0.3"/>
    <row r="732" customFormat="1" ht="15" customHeight="1" x14ac:dyDescent="0.3"/>
    <row r="733" customFormat="1" ht="15" customHeight="1" x14ac:dyDescent="0.3"/>
    <row r="734" customFormat="1" ht="15" customHeight="1" x14ac:dyDescent="0.3"/>
    <row r="735" customFormat="1" ht="15" customHeight="1" x14ac:dyDescent="0.3"/>
    <row r="736" customFormat="1" ht="15" customHeight="1" x14ac:dyDescent="0.3"/>
    <row r="737" customFormat="1" ht="15" customHeight="1" x14ac:dyDescent="0.3"/>
    <row r="738" customFormat="1" ht="15" customHeight="1" x14ac:dyDescent="0.3"/>
    <row r="739" customFormat="1" ht="15" customHeight="1" x14ac:dyDescent="0.3"/>
    <row r="740" customFormat="1" ht="15" customHeight="1" x14ac:dyDescent="0.3"/>
    <row r="741" customFormat="1" ht="15" customHeight="1" x14ac:dyDescent="0.3"/>
    <row r="742" customFormat="1" ht="15" customHeight="1" x14ac:dyDescent="0.3"/>
    <row r="743" customFormat="1" ht="15" customHeight="1" x14ac:dyDescent="0.3"/>
    <row r="744" customFormat="1" ht="15" customHeight="1" x14ac:dyDescent="0.3"/>
    <row r="745" customFormat="1" ht="15" customHeight="1" x14ac:dyDescent="0.3"/>
    <row r="746" customFormat="1" ht="15" customHeight="1" x14ac:dyDescent="0.3"/>
    <row r="747" customFormat="1" ht="15" customHeight="1" x14ac:dyDescent="0.3"/>
    <row r="748" customFormat="1" ht="15" customHeight="1" x14ac:dyDescent="0.3"/>
    <row r="749" customFormat="1" ht="15" customHeight="1" x14ac:dyDescent="0.3"/>
    <row r="750" customFormat="1" ht="15" customHeight="1" x14ac:dyDescent="0.3"/>
    <row r="751" customFormat="1" ht="15" customHeight="1" x14ac:dyDescent="0.3"/>
    <row r="752" customFormat="1" ht="15" customHeight="1" x14ac:dyDescent="0.3"/>
    <row r="753" customFormat="1" ht="15" customHeight="1" x14ac:dyDescent="0.3"/>
    <row r="754" customFormat="1" ht="15" customHeight="1" x14ac:dyDescent="0.3"/>
    <row r="755" customFormat="1" ht="15" customHeight="1" x14ac:dyDescent="0.3"/>
    <row r="756" customFormat="1" ht="15" customHeight="1" x14ac:dyDescent="0.3"/>
    <row r="757" customFormat="1" ht="15" customHeight="1" x14ac:dyDescent="0.3"/>
    <row r="758" customFormat="1" ht="15" customHeight="1" x14ac:dyDescent="0.3"/>
    <row r="759" customFormat="1" ht="15" customHeight="1" x14ac:dyDescent="0.3"/>
    <row r="760" customFormat="1" ht="15" customHeight="1" x14ac:dyDescent="0.3"/>
    <row r="761" customFormat="1" ht="15" customHeight="1" x14ac:dyDescent="0.3"/>
    <row r="762" customFormat="1" ht="15" customHeight="1" x14ac:dyDescent="0.3"/>
    <row r="763" customFormat="1" ht="15" customHeight="1" x14ac:dyDescent="0.3"/>
    <row r="764" customFormat="1" ht="15" customHeight="1" x14ac:dyDescent="0.3"/>
    <row r="765" customFormat="1" ht="15" customHeight="1" x14ac:dyDescent="0.3"/>
    <row r="766" customFormat="1" ht="15" customHeight="1" x14ac:dyDescent="0.3"/>
    <row r="767" customFormat="1" ht="15" customHeight="1" x14ac:dyDescent="0.3"/>
    <row r="768" customFormat="1" ht="15" customHeight="1" x14ac:dyDescent="0.3"/>
    <row r="769" customFormat="1" ht="15" customHeight="1" x14ac:dyDescent="0.3"/>
    <row r="770" customFormat="1" ht="15" customHeight="1" x14ac:dyDescent="0.3"/>
    <row r="771" customFormat="1" ht="15" customHeight="1" x14ac:dyDescent="0.3"/>
    <row r="772" customFormat="1" ht="15" customHeight="1" x14ac:dyDescent="0.3"/>
    <row r="773" customFormat="1" ht="15" customHeight="1" x14ac:dyDescent="0.3"/>
    <row r="774" customFormat="1" ht="15" customHeight="1" x14ac:dyDescent="0.3"/>
    <row r="775" customFormat="1" ht="15" customHeight="1" x14ac:dyDescent="0.3"/>
    <row r="776" customFormat="1" ht="15" customHeight="1" x14ac:dyDescent="0.3"/>
    <row r="777" customFormat="1" ht="15" customHeight="1" x14ac:dyDescent="0.3"/>
    <row r="778" customFormat="1" ht="15" customHeight="1" x14ac:dyDescent="0.3"/>
    <row r="779" customFormat="1" ht="15" customHeight="1" x14ac:dyDescent="0.3"/>
    <row r="780" customFormat="1" ht="15" customHeight="1" x14ac:dyDescent="0.3"/>
    <row r="781" customFormat="1" ht="15" customHeight="1" x14ac:dyDescent="0.3"/>
    <row r="782" customFormat="1" ht="15" customHeight="1" x14ac:dyDescent="0.3"/>
    <row r="783" customFormat="1" ht="15" customHeight="1" x14ac:dyDescent="0.3"/>
    <row r="784" customFormat="1" ht="15" customHeight="1" x14ac:dyDescent="0.3"/>
    <row r="785" customFormat="1" ht="15" customHeight="1" x14ac:dyDescent="0.3"/>
    <row r="786" customFormat="1" ht="15" customHeight="1" x14ac:dyDescent="0.3"/>
    <row r="787" customFormat="1" ht="15" customHeight="1" x14ac:dyDescent="0.3"/>
    <row r="788" customFormat="1" ht="15" customHeight="1" x14ac:dyDescent="0.3"/>
    <row r="789" customFormat="1" ht="15" customHeight="1" x14ac:dyDescent="0.3"/>
    <row r="790" customFormat="1" ht="15" customHeight="1" x14ac:dyDescent="0.3"/>
    <row r="791" customFormat="1" ht="15" customHeight="1" x14ac:dyDescent="0.3"/>
    <row r="792" customFormat="1" ht="15" customHeight="1" x14ac:dyDescent="0.3"/>
    <row r="793" customFormat="1" ht="15" customHeight="1" x14ac:dyDescent="0.3"/>
    <row r="794" customFormat="1" ht="15" customHeight="1" x14ac:dyDescent="0.3"/>
    <row r="795" customFormat="1" ht="15" customHeight="1" x14ac:dyDescent="0.3"/>
    <row r="796" customFormat="1" ht="15" customHeight="1" x14ac:dyDescent="0.3"/>
    <row r="797" customFormat="1" ht="15" customHeight="1" x14ac:dyDescent="0.3"/>
    <row r="798" customFormat="1" ht="15" customHeight="1" x14ac:dyDescent="0.3"/>
    <row r="799" customFormat="1" ht="15" customHeight="1" x14ac:dyDescent="0.3"/>
    <row r="800" customFormat="1" ht="15" customHeight="1" x14ac:dyDescent="0.3"/>
    <row r="801" customFormat="1" ht="15" customHeight="1" x14ac:dyDescent="0.3"/>
    <row r="802" customFormat="1" ht="15" customHeight="1" x14ac:dyDescent="0.3"/>
    <row r="803" customFormat="1" ht="15" customHeight="1" x14ac:dyDescent="0.3"/>
    <row r="804" customFormat="1" ht="15" customHeight="1" x14ac:dyDescent="0.3"/>
    <row r="805" customFormat="1" ht="15" customHeight="1" x14ac:dyDescent="0.3"/>
    <row r="806" customFormat="1" ht="15" customHeight="1" x14ac:dyDescent="0.3"/>
    <row r="807" customFormat="1" ht="15" customHeight="1" x14ac:dyDescent="0.3"/>
    <row r="808" customFormat="1" ht="15" customHeight="1" x14ac:dyDescent="0.3"/>
    <row r="809" customFormat="1" ht="15" customHeight="1" x14ac:dyDescent="0.3"/>
    <row r="810" customFormat="1" ht="15" customHeight="1" x14ac:dyDescent="0.3"/>
    <row r="811" customFormat="1" ht="15" customHeight="1" x14ac:dyDescent="0.3"/>
    <row r="812" customFormat="1" ht="15" customHeight="1" x14ac:dyDescent="0.3"/>
    <row r="813" customFormat="1" ht="15" customHeight="1" x14ac:dyDescent="0.3"/>
    <row r="814" customFormat="1" ht="15" customHeight="1" x14ac:dyDescent="0.3"/>
    <row r="815" customFormat="1" ht="15" customHeight="1" x14ac:dyDescent="0.3"/>
    <row r="816" customFormat="1" ht="15" customHeight="1" x14ac:dyDescent="0.3"/>
    <row r="817" customFormat="1" ht="15" customHeight="1" x14ac:dyDescent="0.3"/>
    <row r="818" customFormat="1" ht="15" customHeight="1" x14ac:dyDescent="0.3"/>
    <row r="819" customFormat="1" ht="15" customHeight="1" x14ac:dyDescent="0.3"/>
    <row r="820" customFormat="1" ht="15" customHeight="1" x14ac:dyDescent="0.3"/>
    <row r="821" customFormat="1" ht="15" customHeight="1" x14ac:dyDescent="0.3"/>
    <row r="822" customFormat="1" ht="15" customHeight="1" x14ac:dyDescent="0.3"/>
    <row r="823" customFormat="1" ht="15" customHeight="1" x14ac:dyDescent="0.3"/>
    <row r="824" customFormat="1" ht="15" customHeight="1" x14ac:dyDescent="0.3"/>
    <row r="825" customFormat="1" ht="15" customHeight="1" x14ac:dyDescent="0.3"/>
    <row r="826" customFormat="1" ht="15" customHeight="1" x14ac:dyDescent="0.3"/>
    <row r="827" customFormat="1" ht="15" customHeight="1" x14ac:dyDescent="0.3"/>
    <row r="828" customFormat="1" ht="15" customHeight="1" x14ac:dyDescent="0.3"/>
    <row r="829" customFormat="1" ht="15" customHeight="1" x14ac:dyDescent="0.3"/>
    <row r="830" customFormat="1" ht="15" customHeight="1" x14ac:dyDescent="0.3"/>
    <row r="831" customFormat="1" ht="15" customHeight="1" x14ac:dyDescent="0.3"/>
    <row r="832" customFormat="1" ht="15" customHeight="1" x14ac:dyDescent="0.3"/>
    <row r="833" customFormat="1" ht="15" customHeight="1" x14ac:dyDescent="0.3"/>
    <row r="834" customFormat="1" ht="15" customHeight="1" x14ac:dyDescent="0.3"/>
    <row r="835" customFormat="1" ht="15" customHeight="1" x14ac:dyDescent="0.3"/>
    <row r="836" customFormat="1" ht="15" customHeight="1" x14ac:dyDescent="0.3"/>
    <row r="837" customFormat="1" ht="15" customHeight="1" x14ac:dyDescent="0.3"/>
    <row r="838" customFormat="1" ht="15" customHeight="1" x14ac:dyDescent="0.3"/>
    <row r="839" customFormat="1" ht="15" customHeight="1" x14ac:dyDescent="0.3"/>
    <row r="840" customFormat="1" ht="15" customHeight="1" x14ac:dyDescent="0.3"/>
    <row r="841" customFormat="1" ht="15" customHeight="1" x14ac:dyDescent="0.3"/>
    <row r="842" customFormat="1" ht="15" customHeight="1" x14ac:dyDescent="0.3"/>
    <row r="843" customFormat="1" ht="15" customHeight="1" x14ac:dyDescent="0.3"/>
    <row r="844" customFormat="1" ht="15" customHeight="1" x14ac:dyDescent="0.3"/>
    <row r="845" customFormat="1" ht="15" customHeight="1" x14ac:dyDescent="0.3"/>
    <row r="846" customFormat="1" ht="15" customHeight="1" x14ac:dyDescent="0.3"/>
    <row r="847" customFormat="1" ht="15" customHeight="1" x14ac:dyDescent="0.3"/>
    <row r="848" customFormat="1" ht="15" customHeight="1" x14ac:dyDescent="0.3"/>
    <row r="849" customFormat="1" ht="15" customHeight="1" x14ac:dyDescent="0.3"/>
    <row r="850" customFormat="1" ht="15" customHeight="1" x14ac:dyDescent="0.3"/>
    <row r="851" customFormat="1" ht="15" customHeight="1" x14ac:dyDescent="0.3"/>
    <row r="852" customFormat="1" ht="15" customHeight="1" x14ac:dyDescent="0.3"/>
    <row r="853" customFormat="1" ht="15" customHeight="1" x14ac:dyDescent="0.3"/>
    <row r="854" customFormat="1" ht="15" customHeight="1" x14ac:dyDescent="0.3"/>
    <row r="855" customFormat="1" ht="15" customHeight="1" x14ac:dyDescent="0.3"/>
    <row r="856" customFormat="1" ht="15" customHeight="1" x14ac:dyDescent="0.3"/>
    <row r="857" customFormat="1" ht="15" customHeight="1" x14ac:dyDescent="0.3"/>
    <row r="858" customFormat="1" ht="15" customHeight="1" x14ac:dyDescent="0.3"/>
    <row r="859" customFormat="1" ht="15" customHeight="1" x14ac:dyDescent="0.3"/>
    <row r="860" customFormat="1" ht="15" customHeight="1" x14ac:dyDescent="0.3"/>
    <row r="861" customFormat="1" ht="15" customHeight="1" x14ac:dyDescent="0.3"/>
    <row r="862" customFormat="1" ht="15" customHeight="1" x14ac:dyDescent="0.3"/>
    <row r="863" customFormat="1" ht="15" customHeight="1" x14ac:dyDescent="0.3"/>
    <row r="864" customFormat="1" ht="15" customHeight="1" x14ac:dyDescent="0.3"/>
    <row r="865" customFormat="1" ht="15" customHeight="1" x14ac:dyDescent="0.3"/>
    <row r="866" customFormat="1" ht="15" customHeight="1" x14ac:dyDescent="0.3"/>
    <row r="867" customFormat="1" ht="15" customHeight="1" x14ac:dyDescent="0.3"/>
    <row r="868" customFormat="1" ht="15" customHeight="1" x14ac:dyDescent="0.3"/>
    <row r="869" customFormat="1" ht="15" customHeight="1" x14ac:dyDescent="0.3"/>
    <row r="870" customFormat="1" ht="15" customHeight="1" x14ac:dyDescent="0.3"/>
    <row r="871" customFormat="1" ht="15" customHeight="1" x14ac:dyDescent="0.3"/>
    <row r="872" customFormat="1" ht="15" customHeight="1" x14ac:dyDescent="0.3"/>
    <row r="873" customFormat="1" ht="15" customHeight="1" x14ac:dyDescent="0.3"/>
    <row r="874" customFormat="1" ht="15" customHeight="1" x14ac:dyDescent="0.3"/>
    <row r="875" customFormat="1" ht="15" customHeight="1" x14ac:dyDescent="0.3"/>
    <row r="876" customFormat="1" ht="15" customHeight="1" x14ac:dyDescent="0.3"/>
    <row r="877" customFormat="1" ht="15" customHeight="1" x14ac:dyDescent="0.3"/>
    <row r="878" customFormat="1" ht="15" customHeight="1" x14ac:dyDescent="0.3"/>
    <row r="879" customFormat="1" ht="15" customHeight="1" x14ac:dyDescent="0.3"/>
    <row r="880" customFormat="1" ht="15" customHeight="1" x14ac:dyDescent="0.3"/>
    <row r="881" customFormat="1" ht="15" customHeight="1" x14ac:dyDescent="0.3"/>
    <row r="882" customFormat="1" ht="15" customHeight="1" x14ac:dyDescent="0.3"/>
    <row r="883" customFormat="1" ht="15" customHeight="1" x14ac:dyDescent="0.3"/>
    <row r="884" customFormat="1" ht="15" customHeight="1" x14ac:dyDescent="0.3"/>
    <row r="885" customFormat="1" ht="15" customHeight="1" x14ac:dyDescent="0.3"/>
    <row r="886" customFormat="1" ht="15" customHeight="1" x14ac:dyDescent="0.3"/>
    <row r="887" customFormat="1" ht="15" customHeight="1" x14ac:dyDescent="0.3"/>
    <row r="888" customFormat="1" ht="15" customHeight="1" x14ac:dyDescent="0.3"/>
    <row r="889" customFormat="1" ht="15" customHeight="1" x14ac:dyDescent="0.3"/>
    <row r="890" customFormat="1" ht="15" customHeight="1" x14ac:dyDescent="0.3"/>
    <row r="891" customFormat="1" ht="15" customHeight="1" x14ac:dyDescent="0.3"/>
    <row r="892" customFormat="1" ht="15" customHeight="1" x14ac:dyDescent="0.3"/>
    <row r="893" customFormat="1" ht="15" customHeight="1" x14ac:dyDescent="0.3"/>
    <row r="894" customFormat="1" ht="15" customHeight="1" x14ac:dyDescent="0.3"/>
    <row r="895" customFormat="1" ht="15" customHeight="1" x14ac:dyDescent="0.3"/>
    <row r="896" customFormat="1" ht="15" customHeight="1" x14ac:dyDescent="0.3"/>
    <row r="897" customFormat="1" ht="15" customHeight="1" x14ac:dyDescent="0.3"/>
    <row r="898" customFormat="1" ht="15" customHeight="1" x14ac:dyDescent="0.3"/>
    <row r="899" customFormat="1" ht="15" customHeight="1" x14ac:dyDescent="0.3"/>
    <row r="900" customFormat="1" ht="15" customHeight="1" x14ac:dyDescent="0.3"/>
    <row r="901" customFormat="1" ht="15" customHeight="1" x14ac:dyDescent="0.3"/>
    <row r="902" customFormat="1" ht="15" customHeight="1" x14ac:dyDescent="0.3"/>
    <row r="903" customFormat="1" ht="15" customHeight="1" x14ac:dyDescent="0.3"/>
    <row r="904" customFormat="1" ht="15" customHeight="1" x14ac:dyDescent="0.3"/>
    <row r="905" customFormat="1" ht="15" customHeight="1" x14ac:dyDescent="0.3"/>
    <row r="906" customFormat="1" ht="15" customHeight="1" x14ac:dyDescent="0.3"/>
    <row r="907" customFormat="1" ht="15" customHeight="1" x14ac:dyDescent="0.3"/>
    <row r="908" customFormat="1" ht="15" customHeight="1" x14ac:dyDescent="0.3"/>
    <row r="909" customFormat="1" ht="15" customHeight="1" x14ac:dyDescent="0.3"/>
    <row r="910" customFormat="1" ht="15" customHeight="1" x14ac:dyDescent="0.3"/>
    <row r="911" customFormat="1" ht="15" customHeight="1" x14ac:dyDescent="0.3"/>
    <row r="912" customFormat="1" ht="15" customHeight="1" x14ac:dyDescent="0.3"/>
    <row r="913" customFormat="1" ht="15" customHeight="1" x14ac:dyDescent="0.3"/>
    <row r="914" customFormat="1" ht="15" customHeight="1" x14ac:dyDescent="0.3"/>
    <row r="915" customFormat="1" ht="15" customHeight="1" x14ac:dyDescent="0.3"/>
    <row r="916" customFormat="1" ht="15" customHeight="1" x14ac:dyDescent="0.3"/>
    <row r="917" customFormat="1" ht="15" customHeight="1" x14ac:dyDescent="0.3"/>
    <row r="918" customFormat="1" ht="15" customHeight="1" x14ac:dyDescent="0.3"/>
    <row r="919" customFormat="1" ht="15" customHeight="1" x14ac:dyDescent="0.3"/>
    <row r="920" customFormat="1" ht="15" customHeight="1" x14ac:dyDescent="0.3"/>
    <row r="921" customFormat="1" ht="15" customHeight="1" x14ac:dyDescent="0.3"/>
    <row r="922" customFormat="1" ht="15" customHeight="1" x14ac:dyDescent="0.3"/>
    <row r="923" customFormat="1" ht="15" customHeight="1" x14ac:dyDescent="0.3"/>
    <row r="924" customFormat="1" ht="15" customHeight="1" x14ac:dyDescent="0.3"/>
    <row r="925" customFormat="1" ht="15" customHeight="1" x14ac:dyDescent="0.3"/>
    <row r="926" customFormat="1" ht="15" customHeight="1" x14ac:dyDescent="0.3"/>
    <row r="927" customFormat="1" ht="15" customHeight="1" x14ac:dyDescent="0.3"/>
    <row r="928" customFormat="1" ht="15" customHeight="1" x14ac:dyDescent="0.3"/>
    <row r="929" customFormat="1" ht="15" customHeight="1" x14ac:dyDescent="0.3"/>
    <row r="930" customFormat="1" ht="15" customHeight="1" x14ac:dyDescent="0.3"/>
    <row r="931" customFormat="1" ht="15" customHeight="1" x14ac:dyDescent="0.3"/>
    <row r="932" customFormat="1" ht="15" customHeight="1" x14ac:dyDescent="0.3"/>
    <row r="933" customFormat="1" ht="15" customHeight="1" x14ac:dyDescent="0.3"/>
    <row r="934" customFormat="1" ht="15" customHeight="1" x14ac:dyDescent="0.3"/>
    <row r="935" customFormat="1" ht="15" customHeight="1" x14ac:dyDescent="0.3"/>
    <row r="936" customFormat="1" ht="15" customHeight="1" x14ac:dyDescent="0.3"/>
    <row r="937" customFormat="1" ht="15" customHeight="1" x14ac:dyDescent="0.3"/>
    <row r="938" customFormat="1" ht="15" customHeight="1" x14ac:dyDescent="0.3"/>
    <row r="939" customFormat="1" ht="15" customHeight="1" x14ac:dyDescent="0.3"/>
    <row r="940" customFormat="1" ht="15" customHeight="1" x14ac:dyDescent="0.3"/>
    <row r="941" customFormat="1" ht="15" customHeight="1" x14ac:dyDescent="0.3"/>
    <row r="942" customFormat="1" ht="15" customHeight="1" x14ac:dyDescent="0.3"/>
    <row r="943" customFormat="1" ht="15" customHeight="1" x14ac:dyDescent="0.3"/>
    <row r="944" customFormat="1" ht="15" customHeight="1" x14ac:dyDescent="0.3"/>
    <row r="945" customFormat="1" ht="15" customHeight="1" x14ac:dyDescent="0.3"/>
    <row r="946" customFormat="1" ht="15" customHeight="1" x14ac:dyDescent="0.3"/>
    <row r="947" customFormat="1" ht="15" customHeight="1" x14ac:dyDescent="0.3"/>
    <row r="948" customFormat="1" ht="15" customHeight="1" x14ac:dyDescent="0.3"/>
    <row r="949" customFormat="1" ht="15" customHeight="1" x14ac:dyDescent="0.3"/>
    <row r="950" customFormat="1" ht="15" customHeight="1" x14ac:dyDescent="0.3"/>
    <row r="951" customFormat="1" ht="15" customHeight="1" x14ac:dyDescent="0.3"/>
    <row r="952" customFormat="1" ht="15" customHeight="1" x14ac:dyDescent="0.3"/>
    <row r="953" customFormat="1" ht="15" customHeight="1" x14ac:dyDescent="0.3"/>
    <row r="954" customFormat="1" ht="15" customHeight="1" x14ac:dyDescent="0.3"/>
    <row r="955" customFormat="1" ht="15" customHeight="1" x14ac:dyDescent="0.3"/>
    <row r="956" customFormat="1" ht="15" customHeight="1" x14ac:dyDescent="0.3"/>
    <row r="957" customFormat="1" ht="15" customHeight="1" x14ac:dyDescent="0.3"/>
    <row r="958" customFormat="1" ht="15" customHeight="1" x14ac:dyDescent="0.3"/>
    <row r="959" customFormat="1" ht="15" customHeight="1" x14ac:dyDescent="0.3"/>
    <row r="960" customFormat="1" ht="15" customHeight="1" x14ac:dyDescent="0.3"/>
    <row r="961" customFormat="1" ht="15" customHeight="1" x14ac:dyDescent="0.3"/>
    <row r="962" customFormat="1" ht="15" customHeight="1" x14ac:dyDescent="0.3"/>
    <row r="963" customFormat="1" ht="15" customHeight="1" x14ac:dyDescent="0.3"/>
    <row r="964" customFormat="1" ht="15" customHeight="1" x14ac:dyDescent="0.3"/>
    <row r="965" customFormat="1" ht="15" customHeight="1" x14ac:dyDescent="0.3"/>
    <row r="966" customFormat="1" ht="15" customHeight="1" x14ac:dyDescent="0.3"/>
    <row r="967" customFormat="1" ht="15" customHeight="1" x14ac:dyDescent="0.3"/>
    <row r="968" customFormat="1" ht="15" customHeight="1" x14ac:dyDescent="0.3"/>
    <row r="969" customFormat="1" ht="15" customHeight="1" x14ac:dyDescent="0.3"/>
    <row r="970" customFormat="1" ht="15" customHeight="1" x14ac:dyDescent="0.3"/>
    <row r="971" customFormat="1" ht="15" customHeight="1" x14ac:dyDescent="0.3"/>
    <row r="972" customFormat="1" ht="15" customHeight="1" x14ac:dyDescent="0.3"/>
    <row r="973" customFormat="1" ht="15" customHeight="1" x14ac:dyDescent="0.3"/>
    <row r="974" customFormat="1" ht="15" customHeight="1" x14ac:dyDescent="0.3"/>
    <row r="975" customFormat="1" ht="15" customHeight="1" x14ac:dyDescent="0.3"/>
    <row r="976" customFormat="1" ht="15" customHeight="1" x14ac:dyDescent="0.3"/>
    <row r="977" customFormat="1" ht="15" customHeight="1" x14ac:dyDescent="0.3"/>
    <row r="978" customFormat="1" ht="15" customHeight="1" x14ac:dyDescent="0.3"/>
    <row r="979" customFormat="1" ht="15" customHeight="1" x14ac:dyDescent="0.3"/>
    <row r="980" customFormat="1" ht="15" customHeight="1" x14ac:dyDescent="0.3"/>
    <row r="981" customFormat="1" ht="15" customHeight="1" x14ac:dyDescent="0.3"/>
    <row r="982" customFormat="1" ht="15" customHeight="1" x14ac:dyDescent="0.3"/>
    <row r="983" customFormat="1" ht="15" customHeight="1" x14ac:dyDescent="0.3"/>
    <row r="984" customFormat="1" ht="15" customHeight="1" x14ac:dyDescent="0.3"/>
    <row r="985" customFormat="1" ht="15" customHeight="1" x14ac:dyDescent="0.3"/>
    <row r="986" customFormat="1" ht="15" customHeight="1" x14ac:dyDescent="0.3"/>
    <row r="987" customFormat="1" ht="15" customHeight="1" x14ac:dyDescent="0.3"/>
    <row r="988" customFormat="1" ht="15" customHeight="1" x14ac:dyDescent="0.3"/>
    <row r="989" customFormat="1" ht="15" customHeight="1" x14ac:dyDescent="0.3"/>
    <row r="990" customFormat="1" ht="15" customHeight="1" x14ac:dyDescent="0.3"/>
    <row r="991" customFormat="1" ht="15" customHeight="1" x14ac:dyDescent="0.3"/>
    <row r="992" customFormat="1" ht="15" customHeight="1" x14ac:dyDescent="0.3"/>
    <row r="993" customFormat="1" ht="15" customHeight="1" x14ac:dyDescent="0.3"/>
    <row r="994" customFormat="1" ht="15" customHeight="1" x14ac:dyDescent="0.3"/>
    <row r="995" customFormat="1" ht="15" customHeight="1" x14ac:dyDescent="0.3"/>
    <row r="996" customFormat="1" ht="15" customHeight="1" x14ac:dyDescent="0.3"/>
    <row r="997" customFormat="1" ht="15" customHeight="1" x14ac:dyDescent="0.3"/>
    <row r="998" customFormat="1" ht="15" customHeight="1" x14ac:dyDescent="0.3"/>
    <row r="999" customFormat="1" ht="15" customHeight="1" x14ac:dyDescent="0.3"/>
    <row r="1000" customFormat="1" ht="15" customHeight="1" x14ac:dyDescent="0.3"/>
    <row r="1001" customFormat="1" ht="15" customHeight="1" x14ac:dyDescent="0.3"/>
    <row r="1002" customFormat="1" ht="15" customHeight="1" x14ac:dyDescent="0.3"/>
    <row r="1003" customFormat="1" ht="15" customHeight="1" x14ac:dyDescent="0.3"/>
    <row r="1004" customFormat="1" ht="15" customHeight="1" x14ac:dyDescent="0.3"/>
    <row r="1005" customFormat="1" ht="15" customHeight="1" x14ac:dyDescent="0.3"/>
    <row r="1006" customFormat="1" ht="15" customHeight="1" x14ac:dyDescent="0.3"/>
    <row r="1007" customFormat="1" ht="15" customHeight="1" x14ac:dyDescent="0.3"/>
    <row r="1008" customFormat="1" ht="15" customHeight="1" x14ac:dyDescent="0.3"/>
    <row r="1009" customFormat="1" ht="15" customHeight="1" x14ac:dyDescent="0.3"/>
    <row r="1010" customFormat="1" ht="15" customHeight="1" x14ac:dyDescent="0.3"/>
    <row r="1011" customFormat="1" ht="15" customHeight="1" x14ac:dyDescent="0.3"/>
    <row r="1012" customFormat="1" ht="15" customHeight="1" x14ac:dyDescent="0.3"/>
    <row r="1013" customFormat="1" ht="15" customHeight="1" x14ac:dyDescent="0.3"/>
    <row r="1014" customFormat="1" ht="15" customHeight="1" x14ac:dyDescent="0.3"/>
    <row r="1015" customFormat="1" ht="15" customHeight="1" x14ac:dyDescent="0.3"/>
    <row r="1016" customFormat="1" ht="15" customHeight="1" x14ac:dyDescent="0.3"/>
    <row r="1017" customFormat="1" ht="15" customHeight="1" x14ac:dyDescent="0.3"/>
    <row r="1018" customFormat="1" ht="15" customHeight="1" x14ac:dyDescent="0.3"/>
    <row r="1019" customFormat="1" ht="15" customHeight="1" x14ac:dyDescent="0.3"/>
    <row r="1020" customFormat="1" ht="15" customHeight="1" x14ac:dyDescent="0.3"/>
    <row r="1021" customFormat="1" ht="15" customHeight="1" x14ac:dyDescent="0.3"/>
    <row r="1022" customFormat="1" ht="15" customHeight="1" x14ac:dyDescent="0.3"/>
    <row r="1023" customFormat="1" ht="15" customHeight="1" x14ac:dyDescent="0.3"/>
    <row r="1024" customFormat="1" ht="15" customHeight="1" x14ac:dyDescent="0.3"/>
    <row r="1025" customFormat="1" ht="15" customHeight="1" x14ac:dyDescent="0.3"/>
    <row r="1026" customFormat="1" ht="15" customHeight="1" x14ac:dyDescent="0.3"/>
    <row r="1027" customFormat="1" ht="15" customHeight="1" x14ac:dyDescent="0.3"/>
    <row r="1028" customFormat="1" ht="15" customHeight="1" x14ac:dyDescent="0.3"/>
    <row r="1029" customFormat="1" ht="15" customHeight="1" x14ac:dyDescent="0.3"/>
    <row r="1030" customFormat="1" ht="15" customHeight="1" x14ac:dyDescent="0.3"/>
    <row r="1031" customFormat="1" ht="15" customHeight="1" x14ac:dyDescent="0.3"/>
    <row r="1032" customFormat="1" ht="15" customHeight="1" x14ac:dyDescent="0.3"/>
    <row r="1033" customFormat="1" ht="15" customHeight="1" x14ac:dyDescent="0.3"/>
    <row r="1034" customFormat="1" ht="15" customHeight="1" x14ac:dyDescent="0.3"/>
    <row r="1035" customFormat="1" ht="15" customHeight="1" x14ac:dyDescent="0.3"/>
    <row r="1036" customFormat="1" ht="15" customHeight="1" x14ac:dyDescent="0.3"/>
    <row r="1037" customFormat="1" ht="15" customHeight="1" x14ac:dyDescent="0.3"/>
    <row r="1038" customFormat="1" ht="15" customHeight="1" x14ac:dyDescent="0.3"/>
    <row r="1039" customFormat="1" ht="15" customHeight="1" x14ac:dyDescent="0.3"/>
    <row r="1040" customFormat="1" ht="15" customHeight="1" x14ac:dyDescent="0.3"/>
    <row r="1041" customFormat="1" ht="15" customHeight="1" x14ac:dyDescent="0.3"/>
    <row r="1042" customFormat="1" ht="15" customHeight="1" x14ac:dyDescent="0.3"/>
    <row r="1043" customFormat="1" ht="15" customHeight="1" x14ac:dyDescent="0.3"/>
    <row r="1044" customFormat="1" ht="15" customHeight="1" x14ac:dyDescent="0.3"/>
    <row r="1045" customFormat="1" ht="15" customHeight="1" x14ac:dyDescent="0.3"/>
    <row r="1046" customFormat="1" ht="15" customHeight="1" x14ac:dyDescent="0.3"/>
    <row r="1047" customFormat="1" ht="15" customHeight="1" x14ac:dyDescent="0.3"/>
    <row r="1048" customFormat="1" ht="15" customHeight="1" x14ac:dyDescent="0.3"/>
    <row r="1049" customFormat="1" ht="15" customHeight="1" x14ac:dyDescent="0.3"/>
    <row r="1050" customFormat="1" ht="15" customHeight="1" x14ac:dyDescent="0.3"/>
    <row r="1051" customFormat="1" ht="15" customHeight="1" x14ac:dyDescent="0.3"/>
    <row r="1052" customFormat="1" ht="15" customHeight="1" x14ac:dyDescent="0.3"/>
    <row r="1053" customFormat="1" ht="15" customHeight="1" x14ac:dyDescent="0.3"/>
    <row r="1054" customFormat="1" ht="15" customHeight="1" x14ac:dyDescent="0.3"/>
    <row r="1055" customFormat="1" ht="15" customHeight="1" x14ac:dyDescent="0.3"/>
    <row r="1056" customFormat="1" ht="15" customHeight="1" x14ac:dyDescent="0.3"/>
    <row r="1057" customFormat="1" ht="15" customHeight="1" x14ac:dyDescent="0.3"/>
    <row r="1058" customFormat="1" ht="15" customHeight="1" x14ac:dyDescent="0.3"/>
    <row r="1059" customFormat="1" ht="15" customHeight="1" x14ac:dyDescent="0.3"/>
    <row r="1060" customFormat="1" ht="15" customHeight="1" x14ac:dyDescent="0.3"/>
    <row r="1061" customFormat="1" ht="15" customHeight="1" x14ac:dyDescent="0.3"/>
    <row r="1062" customFormat="1" ht="15" customHeight="1" x14ac:dyDescent="0.3"/>
    <row r="1063" customFormat="1" ht="15" customHeight="1" x14ac:dyDescent="0.3"/>
    <row r="1064" customFormat="1" ht="15" customHeight="1" x14ac:dyDescent="0.3"/>
    <row r="1065" customFormat="1" ht="15" customHeight="1" x14ac:dyDescent="0.3"/>
    <row r="1066" customFormat="1" ht="15" customHeight="1" x14ac:dyDescent="0.3"/>
    <row r="1067" customFormat="1" ht="15" customHeight="1" x14ac:dyDescent="0.3"/>
    <row r="1068" customFormat="1" ht="15" customHeight="1" x14ac:dyDescent="0.3"/>
    <row r="1069" customFormat="1" ht="15" customHeight="1" x14ac:dyDescent="0.3"/>
    <row r="1070" customFormat="1" ht="15" customHeight="1" x14ac:dyDescent="0.3"/>
    <row r="1071" customFormat="1" ht="15" customHeight="1" x14ac:dyDescent="0.3"/>
    <row r="1072" customFormat="1" ht="15" customHeight="1" x14ac:dyDescent="0.3"/>
    <row r="1073" customFormat="1" ht="15" customHeight="1" x14ac:dyDescent="0.3"/>
    <row r="1074" customFormat="1" ht="15" customHeight="1" x14ac:dyDescent="0.3"/>
    <row r="1075" customFormat="1" ht="15" customHeight="1" x14ac:dyDescent="0.3"/>
    <row r="1076" customFormat="1" ht="15" customHeight="1" x14ac:dyDescent="0.3"/>
    <row r="1077" customFormat="1" ht="15" customHeight="1" x14ac:dyDescent="0.3"/>
    <row r="1078" customFormat="1" ht="15" customHeight="1" x14ac:dyDescent="0.3"/>
    <row r="1079" customFormat="1" ht="15" customHeight="1" x14ac:dyDescent="0.3"/>
    <row r="1080" customFormat="1" ht="15" customHeight="1" x14ac:dyDescent="0.3"/>
    <row r="1081" customFormat="1" ht="15" customHeight="1" x14ac:dyDescent="0.3"/>
    <row r="1082" customFormat="1" ht="15" customHeight="1" x14ac:dyDescent="0.3"/>
    <row r="1083" customFormat="1" ht="15" customHeight="1" x14ac:dyDescent="0.3"/>
    <row r="1084" customFormat="1" ht="15" customHeight="1" x14ac:dyDescent="0.3"/>
    <row r="1085" customFormat="1" ht="15" customHeight="1" x14ac:dyDescent="0.3"/>
    <row r="1086" customFormat="1" ht="15" customHeight="1" x14ac:dyDescent="0.3"/>
    <row r="1087" customFormat="1" ht="15" customHeight="1" x14ac:dyDescent="0.3"/>
    <row r="1088" customFormat="1" ht="15" customHeight="1" x14ac:dyDescent="0.3"/>
    <row r="1089" customFormat="1" ht="15" customHeight="1" x14ac:dyDescent="0.3"/>
    <row r="1090" customFormat="1" ht="15" customHeight="1" x14ac:dyDescent="0.3"/>
    <row r="1091" customFormat="1" ht="15" customHeight="1" x14ac:dyDescent="0.3"/>
    <row r="1092" customFormat="1" ht="15" customHeight="1" x14ac:dyDescent="0.3"/>
    <row r="1093" customFormat="1" ht="15" customHeight="1" x14ac:dyDescent="0.3"/>
    <row r="1094" customFormat="1" ht="15" customHeight="1" x14ac:dyDescent="0.3"/>
    <row r="1095" customFormat="1" ht="15" customHeight="1" x14ac:dyDescent="0.3"/>
    <row r="1096" customFormat="1" ht="15" customHeight="1" x14ac:dyDescent="0.3"/>
    <row r="1097" customFormat="1" ht="15" customHeight="1" x14ac:dyDescent="0.3"/>
    <row r="1098" customFormat="1" ht="15" customHeight="1" x14ac:dyDescent="0.3"/>
    <row r="1099" customFormat="1" ht="15" customHeight="1" x14ac:dyDescent="0.3"/>
    <row r="1100" customFormat="1" ht="15" customHeight="1" x14ac:dyDescent="0.3"/>
    <row r="1101" customFormat="1" ht="15" customHeight="1" x14ac:dyDescent="0.3"/>
    <row r="1102" customFormat="1" ht="15" customHeight="1" x14ac:dyDescent="0.3"/>
    <row r="1103" customFormat="1" ht="15" customHeight="1" x14ac:dyDescent="0.3"/>
    <row r="1104" customFormat="1" ht="15" customHeight="1" x14ac:dyDescent="0.3"/>
    <row r="1105" customFormat="1" ht="15" customHeight="1" x14ac:dyDescent="0.3"/>
    <row r="1106" customFormat="1" ht="15" customHeight="1" x14ac:dyDescent="0.3"/>
    <row r="1107" customFormat="1" ht="15" customHeight="1" x14ac:dyDescent="0.3"/>
    <row r="1108" customFormat="1" ht="15" customHeight="1" x14ac:dyDescent="0.3"/>
    <row r="1109" customFormat="1" ht="15" customHeight="1" x14ac:dyDescent="0.3"/>
    <row r="1110" customFormat="1" ht="15" customHeight="1" x14ac:dyDescent="0.3"/>
    <row r="1111" customFormat="1" ht="15" customHeight="1" x14ac:dyDescent="0.3"/>
    <row r="1112" customFormat="1" ht="15" customHeight="1" x14ac:dyDescent="0.3"/>
    <row r="1113" customFormat="1" ht="15" customHeight="1" x14ac:dyDescent="0.3"/>
    <row r="1114" customFormat="1" ht="15" customHeight="1" x14ac:dyDescent="0.3"/>
    <row r="1115" customFormat="1" ht="15" customHeight="1" x14ac:dyDescent="0.3"/>
    <row r="1116" customFormat="1" ht="15" customHeight="1" x14ac:dyDescent="0.3"/>
    <row r="1117" customFormat="1" ht="15" customHeight="1" x14ac:dyDescent="0.3"/>
    <row r="1118" customFormat="1" ht="15" customHeight="1" x14ac:dyDescent="0.3"/>
    <row r="1119" customFormat="1" ht="15" customHeight="1" x14ac:dyDescent="0.3"/>
    <row r="1120" customFormat="1" ht="15" customHeight="1" x14ac:dyDescent="0.3"/>
    <row r="1121" customFormat="1" ht="15" customHeight="1" x14ac:dyDescent="0.3"/>
    <row r="1122" customFormat="1" ht="15" customHeight="1" x14ac:dyDescent="0.3"/>
    <row r="1123" customFormat="1" ht="15" customHeight="1" x14ac:dyDescent="0.3"/>
    <row r="1124" customFormat="1" ht="15" customHeight="1" x14ac:dyDescent="0.3"/>
    <row r="1125" customFormat="1" ht="15" customHeight="1" x14ac:dyDescent="0.3"/>
    <row r="1126" customFormat="1" ht="15" customHeight="1" x14ac:dyDescent="0.3"/>
    <row r="1127" customFormat="1" ht="15" customHeight="1" x14ac:dyDescent="0.3"/>
    <row r="1128" customFormat="1" ht="15" customHeight="1" x14ac:dyDescent="0.3"/>
    <row r="1129" customFormat="1" ht="15" customHeight="1" x14ac:dyDescent="0.3"/>
    <row r="1130" customFormat="1" ht="15" customHeight="1" x14ac:dyDescent="0.3"/>
    <row r="1131" customFormat="1" ht="15" customHeight="1" x14ac:dyDescent="0.3"/>
    <row r="1132" customFormat="1" ht="15" customHeight="1" x14ac:dyDescent="0.3"/>
    <row r="1133" customFormat="1" ht="15" customHeight="1" x14ac:dyDescent="0.3"/>
    <row r="1134" customFormat="1" ht="15" customHeight="1" x14ac:dyDescent="0.3"/>
    <row r="1135" customFormat="1" ht="15" customHeight="1" x14ac:dyDescent="0.3"/>
    <row r="1136" customFormat="1" ht="15" customHeight="1" x14ac:dyDescent="0.3"/>
    <row r="1137" customFormat="1" ht="15" customHeight="1" x14ac:dyDescent="0.3"/>
    <row r="1138" customFormat="1" ht="15" customHeight="1" x14ac:dyDescent="0.3"/>
    <row r="1139" customFormat="1" ht="15" customHeight="1" x14ac:dyDescent="0.3"/>
    <row r="1140" customFormat="1" ht="15" customHeight="1" x14ac:dyDescent="0.3"/>
    <row r="1141" customFormat="1" ht="15" customHeight="1" x14ac:dyDescent="0.3"/>
    <row r="1142" customFormat="1" ht="15" customHeight="1" x14ac:dyDescent="0.3"/>
    <row r="1143" customFormat="1" ht="15" customHeight="1" x14ac:dyDescent="0.3"/>
    <row r="1144" customFormat="1" ht="15" customHeight="1" x14ac:dyDescent="0.3"/>
    <row r="1145" customFormat="1" ht="15" customHeight="1" x14ac:dyDescent="0.3"/>
    <row r="1146" customFormat="1" ht="15" customHeight="1" x14ac:dyDescent="0.3"/>
    <row r="1147" customFormat="1" ht="15" customHeight="1" x14ac:dyDescent="0.3"/>
    <row r="1148" customFormat="1" ht="15" customHeight="1" x14ac:dyDescent="0.3"/>
    <row r="1149" customFormat="1" ht="15" customHeight="1" x14ac:dyDescent="0.3"/>
    <row r="1150" customFormat="1" ht="15" customHeight="1" x14ac:dyDescent="0.3"/>
    <row r="1151" customFormat="1" ht="15" customHeight="1" x14ac:dyDescent="0.3"/>
    <row r="1152" customFormat="1" ht="15" customHeight="1" x14ac:dyDescent="0.3"/>
    <row r="1153" customFormat="1" ht="15" customHeight="1" x14ac:dyDescent="0.3"/>
    <row r="1154" customFormat="1" ht="15" customHeight="1" x14ac:dyDescent="0.3"/>
    <row r="1155" customFormat="1" ht="15" customHeight="1" x14ac:dyDescent="0.3"/>
    <row r="1156" customFormat="1" ht="15" customHeight="1" x14ac:dyDescent="0.3"/>
    <row r="1157" customFormat="1" ht="15" customHeight="1" x14ac:dyDescent="0.3"/>
    <row r="1158" customFormat="1" ht="15" customHeight="1" x14ac:dyDescent="0.3"/>
    <row r="1159" customFormat="1" ht="15" customHeight="1" x14ac:dyDescent="0.3"/>
    <row r="1160" customFormat="1" ht="15" customHeight="1" x14ac:dyDescent="0.3"/>
    <row r="1161" customFormat="1" ht="15" customHeight="1" x14ac:dyDescent="0.3"/>
    <row r="1162" customFormat="1" ht="15" customHeight="1" x14ac:dyDescent="0.3"/>
    <row r="1163" customFormat="1" ht="15" customHeight="1" x14ac:dyDescent="0.3"/>
    <row r="1164" customFormat="1" ht="15" customHeight="1" x14ac:dyDescent="0.3"/>
    <row r="1165" customFormat="1" ht="15" customHeight="1" x14ac:dyDescent="0.3"/>
    <row r="1166" customFormat="1" ht="15" customHeight="1" x14ac:dyDescent="0.3"/>
    <row r="1167" customFormat="1" ht="15" customHeight="1" x14ac:dyDescent="0.3"/>
    <row r="1168" customFormat="1" ht="15" customHeight="1" x14ac:dyDescent="0.3"/>
    <row r="1169" customFormat="1" ht="15" customHeight="1" x14ac:dyDescent="0.3"/>
    <row r="1170" customFormat="1" ht="15" customHeight="1" x14ac:dyDescent="0.3"/>
    <row r="1171" customFormat="1" ht="15" customHeight="1" x14ac:dyDescent="0.3"/>
    <row r="1172" customFormat="1" ht="15" customHeight="1" x14ac:dyDescent="0.3"/>
    <row r="1173" customFormat="1" ht="15" customHeight="1" x14ac:dyDescent="0.3"/>
    <row r="1174" customFormat="1" ht="15" customHeight="1" x14ac:dyDescent="0.3"/>
    <row r="1175" customFormat="1" ht="15" customHeight="1" x14ac:dyDescent="0.3"/>
    <row r="1176" customFormat="1" ht="15" customHeight="1" x14ac:dyDescent="0.3"/>
    <row r="1177" customFormat="1" ht="15" customHeight="1" x14ac:dyDescent="0.3"/>
    <row r="1178" customFormat="1" ht="15" customHeight="1" x14ac:dyDescent="0.3"/>
    <row r="1179" customFormat="1" ht="15" customHeight="1" x14ac:dyDescent="0.3"/>
    <row r="1180" customFormat="1" ht="15" customHeight="1" x14ac:dyDescent="0.3"/>
    <row r="1181" customFormat="1" ht="15" customHeight="1" x14ac:dyDescent="0.3"/>
    <row r="1182" customFormat="1" ht="15" customHeight="1" x14ac:dyDescent="0.3"/>
    <row r="1183" customFormat="1" ht="15" customHeight="1" x14ac:dyDescent="0.3"/>
    <row r="1184" customFormat="1" ht="15" customHeight="1" x14ac:dyDescent="0.3"/>
    <row r="1185" customFormat="1" ht="15" customHeight="1" x14ac:dyDescent="0.3"/>
    <row r="1186" customFormat="1" ht="15" customHeight="1" x14ac:dyDescent="0.3"/>
    <row r="1187" customFormat="1" ht="15" customHeight="1" x14ac:dyDescent="0.3"/>
    <row r="1188" customFormat="1" ht="15" customHeight="1" x14ac:dyDescent="0.3"/>
    <row r="1189" customFormat="1" ht="15" customHeight="1" x14ac:dyDescent="0.3"/>
    <row r="1190" customFormat="1" ht="15" customHeight="1" x14ac:dyDescent="0.3"/>
    <row r="1191" customFormat="1" ht="15" customHeight="1" x14ac:dyDescent="0.3"/>
    <row r="1192" customFormat="1" ht="15" customHeight="1" x14ac:dyDescent="0.3"/>
    <row r="1193" customFormat="1" ht="15" customHeight="1" x14ac:dyDescent="0.3"/>
    <row r="1194" customFormat="1" ht="15" customHeight="1" x14ac:dyDescent="0.3"/>
    <row r="1195" customFormat="1" ht="15" customHeight="1" x14ac:dyDescent="0.3"/>
    <row r="1196" customFormat="1" ht="15" customHeight="1" x14ac:dyDescent="0.3"/>
    <row r="1197" customFormat="1" ht="15" customHeight="1" x14ac:dyDescent="0.3"/>
    <row r="1198" customFormat="1" ht="15" customHeight="1" x14ac:dyDescent="0.3"/>
    <row r="1199" customFormat="1" ht="15" customHeight="1" x14ac:dyDescent="0.3"/>
    <row r="1200" customFormat="1" ht="15" customHeight="1" x14ac:dyDescent="0.3"/>
    <row r="1201" customFormat="1" ht="15" customHeight="1" x14ac:dyDescent="0.3"/>
    <row r="1202" customFormat="1" ht="15" customHeight="1" x14ac:dyDescent="0.3"/>
    <row r="1203" customFormat="1" ht="15" customHeight="1" x14ac:dyDescent="0.3"/>
    <row r="1204" customFormat="1" ht="15" customHeight="1" x14ac:dyDescent="0.3"/>
    <row r="1205" customFormat="1" ht="15" customHeight="1" x14ac:dyDescent="0.3"/>
    <row r="1206" customFormat="1" ht="15" customHeight="1" x14ac:dyDescent="0.3"/>
    <row r="1207" customFormat="1" ht="15" customHeight="1" x14ac:dyDescent="0.3"/>
    <row r="1208" customFormat="1" ht="15" customHeight="1" x14ac:dyDescent="0.3"/>
    <row r="1209" customFormat="1" ht="15" customHeight="1" x14ac:dyDescent="0.3"/>
    <row r="1210" customFormat="1" ht="15" customHeight="1" x14ac:dyDescent="0.3"/>
    <row r="1211" customFormat="1" ht="15" customHeight="1" x14ac:dyDescent="0.3"/>
    <row r="1212" customFormat="1" ht="15" customHeight="1" x14ac:dyDescent="0.3"/>
    <row r="1213" customFormat="1" ht="15" customHeight="1" x14ac:dyDescent="0.3"/>
    <row r="1214" customFormat="1" ht="15" customHeight="1" x14ac:dyDescent="0.3"/>
    <row r="1215" customFormat="1" ht="15" customHeight="1" x14ac:dyDescent="0.3"/>
    <row r="1216" customFormat="1" ht="15" customHeight="1" x14ac:dyDescent="0.3"/>
    <row r="1217" customFormat="1" ht="15" customHeight="1" x14ac:dyDescent="0.3"/>
    <row r="1218" customFormat="1" ht="15" customHeight="1" x14ac:dyDescent="0.3"/>
    <row r="1219" customFormat="1" ht="15" customHeight="1" x14ac:dyDescent="0.3"/>
    <row r="1220" customFormat="1" ht="15" customHeight="1" x14ac:dyDescent="0.3"/>
    <row r="1221" customFormat="1" ht="15" customHeight="1" x14ac:dyDescent="0.3"/>
    <row r="1222" customFormat="1" ht="15" customHeight="1" x14ac:dyDescent="0.3"/>
    <row r="1223" customFormat="1" ht="15" customHeight="1" x14ac:dyDescent="0.3"/>
    <row r="1224" customFormat="1" ht="15" customHeight="1" x14ac:dyDescent="0.3"/>
    <row r="1225" customFormat="1" ht="15" customHeight="1" x14ac:dyDescent="0.3"/>
    <row r="1226" customFormat="1" ht="15" customHeight="1" x14ac:dyDescent="0.3"/>
    <row r="1227" customFormat="1" ht="15" customHeight="1" x14ac:dyDescent="0.3"/>
    <row r="1228" customFormat="1" ht="15" customHeight="1" x14ac:dyDescent="0.3"/>
    <row r="1229" customFormat="1" ht="15" customHeight="1" x14ac:dyDescent="0.3"/>
    <row r="1230" customFormat="1" ht="15" customHeight="1" x14ac:dyDescent="0.3"/>
    <row r="1231" customFormat="1" ht="15" customHeight="1" x14ac:dyDescent="0.3"/>
    <row r="1232" customFormat="1" ht="15" customHeight="1" x14ac:dyDescent="0.3"/>
    <row r="1233" customFormat="1" ht="15" customHeight="1" x14ac:dyDescent="0.3"/>
    <row r="1234" customFormat="1" ht="15" customHeight="1" x14ac:dyDescent="0.3"/>
    <row r="1235" customFormat="1" ht="15" customHeight="1" x14ac:dyDescent="0.3"/>
    <row r="1236" customFormat="1" ht="15" customHeight="1" x14ac:dyDescent="0.3"/>
    <row r="1237" customFormat="1" ht="15" customHeight="1" x14ac:dyDescent="0.3"/>
    <row r="1238" customFormat="1" ht="15" customHeight="1" x14ac:dyDescent="0.3"/>
    <row r="1239" customFormat="1" ht="15" customHeight="1" x14ac:dyDescent="0.3"/>
    <row r="1240" customFormat="1" ht="15" customHeight="1" x14ac:dyDescent="0.3"/>
    <row r="1241" customFormat="1" ht="15" customHeight="1" x14ac:dyDescent="0.3"/>
    <row r="1242" customFormat="1" ht="15" customHeight="1" x14ac:dyDescent="0.3"/>
    <row r="1243" customFormat="1" ht="15" customHeight="1" x14ac:dyDescent="0.3"/>
    <row r="1244" customFormat="1" ht="15" customHeight="1" x14ac:dyDescent="0.3"/>
    <row r="1245" customFormat="1" ht="15" customHeight="1" x14ac:dyDescent="0.3"/>
    <row r="1246" customFormat="1" ht="15" customHeight="1" x14ac:dyDescent="0.3"/>
    <row r="1247" customFormat="1" ht="15" customHeight="1" x14ac:dyDescent="0.3"/>
    <row r="1248" customFormat="1" ht="15" customHeight="1" x14ac:dyDescent="0.3"/>
    <row r="1249" customFormat="1" ht="15" customHeight="1" x14ac:dyDescent="0.3"/>
    <row r="1250" customFormat="1" ht="15" customHeight="1" x14ac:dyDescent="0.3"/>
    <row r="1251" customFormat="1" ht="15" customHeight="1" x14ac:dyDescent="0.3"/>
    <row r="1252" customFormat="1" ht="15" customHeight="1" x14ac:dyDescent="0.3"/>
    <row r="1253" customFormat="1" ht="15" customHeight="1" x14ac:dyDescent="0.3"/>
    <row r="1254" customFormat="1" ht="15" customHeight="1" x14ac:dyDescent="0.3"/>
    <row r="1255" customFormat="1" ht="15" customHeight="1" x14ac:dyDescent="0.3"/>
    <row r="1256" customFormat="1" ht="15" customHeight="1" x14ac:dyDescent="0.3"/>
    <row r="1257" customFormat="1" ht="15" customHeight="1" x14ac:dyDescent="0.3"/>
    <row r="1258" customFormat="1" ht="15" customHeight="1" x14ac:dyDescent="0.3"/>
    <row r="1259" customFormat="1" ht="15" customHeight="1" x14ac:dyDescent="0.3"/>
    <row r="1260" customFormat="1" ht="15" customHeight="1" x14ac:dyDescent="0.3"/>
    <row r="1261" customFormat="1" ht="15" customHeight="1" x14ac:dyDescent="0.3"/>
    <row r="1262" customFormat="1" ht="15" customHeight="1" x14ac:dyDescent="0.3"/>
    <row r="1263" customFormat="1" ht="15" customHeight="1" x14ac:dyDescent="0.3"/>
    <row r="1264" customFormat="1" ht="15" customHeight="1" x14ac:dyDescent="0.3"/>
    <row r="1265" customFormat="1" ht="15" customHeight="1" x14ac:dyDescent="0.3"/>
    <row r="1266" customFormat="1" ht="15" customHeight="1" x14ac:dyDescent="0.3"/>
    <row r="1267" customFormat="1" ht="15" customHeight="1" x14ac:dyDescent="0.3"/>
    <row r="1268" customFormat="1" ht="15" customHeight="1" x14ac:dyDescent="0.3"/>
    <row r="1269" customFormat="1" ht="15" customHeight="1" x14ac:dyDescent="0.3"/>
    <row r="1270" customFormat="1" ht="15" customHeight="1" x14ac:dyDescent="0.3"/>
    <row r="1271" customFormat="1" ht="15" customHeight="1" x14ac:dyDescent="0.3"/>
    <row r="1272" customFormat="1" ht="15" customHeight="1" x14ac:dyDescent="0.3"/>
    <row r="1273" customFormat="1" ht="15" customHeight="1" x14ac:dyDescent="0.3"/>
    <row r="1274" customFormat="1" ht="15" customHeight="1" x14ac:dyDescent="0.3"/>
    <row r="1275" customFormat="1" ht="15" customHeight="1" x14ac:dyDescent="0.3"/>
    <row r="1276" customFormat="1" ht="15" customHeight="1" x14ac:dyDescent="0.3"/>
    <row r="1277" customFormat="1" ht="15" customHeight="1" x14ac:dyDescent="0.3"/>
    <row r="1278" customFormat="1" ht="15" customHeight="1" x14ac:dyDescent="0.3"/>
    <row r="1279" customFormat="1" ht="15" customHeight="1" x14ac:dyDescent="0.3"/>
    <row r="1280" customFormat="1" ht="15" customHeight="1" x14ac:dyDescent="0.3"/>
    <row r="1281" customFormat="1" ht="15" customHeight="1" x14ac:dyDescent="0.3"/>
    <row r="1282" customFormat="1" ht="15" customHeight="1" x14ac:dyDescent="0.3"/>
    <row r="1283" customFormat="1" ht="15" customHeight="1" x14ac:dyDescent="0.3"/>
    <row r="1284" customFormat="1" ht="15" customHeight="1" x14ac:dyDescent="0.3"/>
    <row r="1285" customFormat="1" ht="15" customHeight="1" x14ac:dyDescent="0.3"/>
    <row r="1286" customFormat="1" ht="15" customHeight="1" x14ac:dyDescent="0.3"/>
    <row r="1287" customFormat="1" ht="15" customHeight="1" x14ac:dyDescent="0.3"/>
    <row r="1288" customFormat="1" ht="15" customHeight="1" x14ac:dyDescent="0.3"/>
    <row r="1289" customFormat="1" ht="15" customHeight="1" x14ac:dyDescent="0.3"/>
    <row r="1290" customFormat="1" ht="15" customHeight="1" x14ac:dyDescent="0.3"/>
    <row r="1291" customFormat="1" ht="15" customHeight="1" x14ac:dyDescent="0.3"/>
    <row r="1292" customFormat="1" ht="15" customHeight="1" x14ac:dyDescent="0.3"/>
    <row r="1293" customFormat="1" ht="15" customHeight="1" x14ac:dyDescent="0.3"/>
    <row r="1294" customFormat="1" ht="15" customHeight="1" x14ac:dyDescent="0.3"/>
    <row r="1295" customFormat="1" ht="15" customHeight="1" x14ac:dyDescent="0.3"/>
    <row r="1296" customFormat="1" ht="15" customHeight="1" x14ac:dyDescent="0.3"/>
    <row r="1297" customFormat="1" ht="15" customHeight="1" x14ac:dyDescent="0.3"/>
    <row r="1298" customFormat="1" ht="15" customHeight="1" x14ac:dyDescent="0.3"/>
    <row r="1299" customFormat="1" ht="15" customHeight="1" x14ac:dyDescent="0.3"/>
    <row r="1300" customFormat="1" ht="15" customHeight="1" x14ac:dyDescent="0.3"/>
    <row r="1301" customFormat="1" ht="15" customHeight="1" x14ac:dyDescent="0.3"/>
    <row r="1302" customFormat="1" ht="15" customHeight="1" x14ac:dyDescent="0.3"/>
    <row r="1303" customFormat="1" ht="15" customHeight="1" x14ac:dyDescent="0.3"/>
    <row r="1304" customFormat="1" ht="15" customHeight="1" x14ac:dyDescent="0.3"/>
    <row r="1305" customFormat="1" ht="15" customHeight="1" x14ac:dyDescent="0.3"/>
    <row r="1306" customFormat="1" ht="15" customHeight="1" x14ac:dyDescent="0.3"/>
    <row r="1307" customFormat="1" ht="15" customHeight="1" x14ac:dyDescent="0.3"/>
    <row r="1308" customFormat="1" ht="15" customHeight="1" x14ac:dyDescent="0.3"/>
    <row r="1309" customFormat="1" ht="15" customHeight="1" x14ac:dyDescent="0.3"/>
    <row r="1310" customFormat="1" ht="15" customHeight="1" x14ac:dyDescent="0.3"/>
    <row r="1311" customFormat="1" ht="15" customHeight="1" x14ac:dyDescent="0.3"/>
    <row r="1312" customFormat="1" ht="15" customHeight="1" x14ac:dyDescent="0.3"/>
    <row r="1313" customFormat="1" ht="15" customHeight="1" x14ac:dyDescent="0.3"/>
    <row r="1314" customFormat="1" ht="15" customHeight="1" x14ac:dyDescent="0.3"/>
    <row r="1315" customFormat="1" ht="15" customHeight="1" x14ac:dyDescent="0.3"/>
    <row r="1316" customFormat="1" ht="15" customHeight="1" x14ac:dyDescent="0.3"/>
    <row r="1317" customFormat="1" ht="15" customHeight="1" x14ac:dyDescent="0.3"/>
    <row r="1318" customFormat="1" ht="15" customHeight="1" x14ac:dyDescent="0.3"/>
    <row r="1319" customFormat="1" ht="15" customHeight="1" x14ac:dyDescent="0.3"/>
    <row r="1320" customFormat="1" ht="15" customHeight="1" x14ac:dyDescent="0.3"/>
    <row r="1321" customFormat="1" ht="15" customHeight="1" x14ac:dyDescent="0.3"/>
    <row r="1322" customFormat="1" ht="15" customHeight="1" x14ac:dyDescent="0.3"/>
    <row r="1323" customFormat="1" ht="15" customHeight="1" x14ac:dyDescent="0.3"/>
    <row r="1324" customFormat="1" ht="15" customHeight="1" x14ac:dyDescent="0.3"/>
    <row r="1325" customFormat="1" ht="15" customHeight="1" x14ac:dyDescent="0.3"/>
    <row r="1326" customFormat="1" ht="15" customHeight="1" x14ac:dyDescent="0.3"/>
    <row r="1327" customFormat="1" ht="15" customHeight="1" x14ac:dyDescent="0.3"/>
    <row r="1328" customFormat="1" ht="15" customHeight="1" x14ac:dyDescent="0.3"/>
    <row r="1329" customFormat="1" ht="15" customHeight="1" x14ac:dyDescent="0.3"/>
    <row r="1330" customFormat="1" ht="15" customHeight="1" x14ac:dyDescent="0.3"/>
    <row r="1331" customFormat="1" ht="15" customHeight="1" x14ac:dyDescent="0.3"/>
    <row r="1332" customFormat="1" ht="15" customHeight="1" x14ac:dyDescent="0.3"/>
    <row r="1333" customFormat="1" ht="15" customHeight="1" x14ac:dyDescent="0.3"/>
    <row r="1334" customFormat="1" ht="15" customHeight="1" x14ac:dyDescent="0.3"/>
    <row r="1335" customFormat="1" ht="15" customHeight="1" x14ac:dyDescent="0.3"/>
    <row r="1336" customFormat="1" ht="15" customHeight="1" x14ac:dyDescent="0.3"/>
    <row r="1337" customFormat="1" ht="15" customHeight="1" x14ac:dyDescent="0.3"/>
    <row r="1338" customFormat="1" ht="15" customHeight="1" x14ac:dyDescent="0.3"/>
    <row r="1339" customFormat="1" ht="15" customHeight="1" x14ac:dyDescent="0.3"/>
    <row r="1340" customFormat="1" ht="15" customHeight="1" x14ac:dyDescent="0.3"/>
    <row r="1341" customFormat="1" ht="15" customHeight="1" x14ac:dyDescent="0.3"/>
    <row r="1342" customFormat="1" ht="15" customHeight="1" x14ac:dyDescent="0.3"/>
    <row r="1343" customFormat="1" ht="15" customHeight="1" x14ac:dyDescent="0.3"/>
    <row r="1344" customFormat="1" ht="15" customHeight="1" x14ac:dyDescent="0.3"/>
    <row r="1345" customFormat="1" ht="15" customHeight="1" x14ac:dyDescent="0.3"/>
    <row r="1346" customFormat="1" ht="15" customHeight="1" x14ac:dyDescent="0.3"/>
    <row r="1347" customFormat="1" ht="15" customHeight="1" x14ac:dyDescent="0.3"/>
    <row r="1348" customFormat="1" ht="15" customHeight="1" x14ac:dyDescent="0.3"/>
    <row r="1349" customFormat="1" ht="15" customHeight="1" x14ac:dyDescent="0.3"/>
    <row r="1350" customFormat="1" ht="15" customHeight="1" x14ac:dyDescent="0.3"/>
    <row r="1351" customFormat="1" ht="15" customHeight="1" x14ac:dyDescent="0.3"/>
    <row r="1352" customFormat="1" ht="15" customHeight="1" x14ac:dyDescent="0.3"/>
    <row r="1353" customFormat="1" ht="15" customHeight="1" x14ac:dyDescent="0.3"/>
    <row r="1354" customFormat="1" ht="15" customHeight="1" x14ac:dyDescent="0.3"/>
    <row r="1355" customFormat="1" ht="15" customHeight="1" x14ac:dyDescent="0.3"/>
    <row r="1356" customFormat="1" ht="15" customHeight="1" x14ac:dyDescent="0.3"/>
    <row r="1357" customFormat="1" ht="15" customHeight="1" x14ac:dyDescent="0.3"/>
    <row r="1358" customFormat="1" ht="15" customHeight="1" x14ac:dyDescent="0.3"/>
    <row r="1359" customFormat="1" ht="15" customHeight="1" x14ac:dyDescent="0.3"/>
    <row r="1360" customFormat="1" ht="15" customHeight="1" x14ac:dyDescent="0.3"/>
    <row r="1361" customFormat="1" ht="15" customHeight="1" x14ac:dyDescent="0.3"/>
    <row r="1362" customFormat="1" ht="15" customHeight="1" x14ac:dyDescent="0.3"/>
    <row r="1363" customFormat="1" ht="15" customHeight="1" x14ac:dyDescent="0.3"/>
    <row r="1364" customFormat="1" ht="15" customHeight="1" x14ac:dyDescent="0.3"/>
    <row r="1365" customFormat="1" ht="15" customHeight="1" x14ac:dyDescent="0.3"/>
    <row r="1366" customFormat="1" ht="15" customHeight="1" x14ac:dyDescent="0.3"/>
    <row r="1367" customFormat="1" ht="15" customHeight="1" x14ac:dyDescent="0.3"/>
    <row r="1368" customFormat="1" ht="15" customHeight="1" x14ac:dyDescent="0.3"/>
    <row r="1369" customFormat="1" ht="15" customHeight="1" x14ac:dyDescent="0.3"/>
    <row r="1370" customFormat="1" ht="15" customHeight="1" x14ac:dyDescent="0.3"/>
    <row r="1371" customFormat="1" ht="15" customHeight="1" x14ac:dyDescent="0.3"/>
    <row r="1372" customFormat="1" ht="15" customHeight="1" x14ac:dyDescent="0.3"/>
    <row r="1373" customFormat="1" ht="15" customHeight="1" x14ac:dyDescent="0.3"/>
    <row r="1374" customFormat="1" ht="15" customHeight="1" x14ac:dyDescent="0.3"/>
    <row r="1375" customFormat="1" ht="15" customHeight="1" x14ac:dyDescent="0.3"/>
    <row r="1376" customFormat="1" ht="15" customHeight="1" x14ac:dyDescent="0.3"/>
    <row r="1377" customFormat="1" ht="15" customHeight="1" x14ac:dyDescent="0.3"/>
    <row r="1378" customFormat="1" ht="15" customHeight="1" x14ac:dyDescent="0.3"/>
    <row r="1379" customFormat="1" ht="15" customHeight="1" x14ac:dyDescent="0.3"/>
    <row r="1380" customFormat="1" ht="15" customHeight="1" x14ac:dyDescent="0.3"/>
    <row r="1381" customFormat="1" ht="15" customHeight="1" x14ac:dyDescent="0.3"/>
    <row r="1382" customFormat="1" ht="15" customHeight="1" x14ac:dyDescent="0.3"/>
    <row r="1383" customFormat="1" ht="15" customHeight="1" x14ac:dyDescent="0.3"/>
    <row r="1384" customFormat="1" ht="15" customHeight="1" x14ac:dyDescent="0.3"/>
    <row r="1385" customFormat="1" ht="15" customHeight="1" x14ac:dyDescent="0.3"/>
    <row r="1386" customFormat="1" ht="15" customHeight="1" x14ac:dyDescent="0.3"/>
    <row r="1387" customFormat="1" ht="15" customHeight="1" x14ac:dyDescent="0.3"/>
    <row r="1388" customFormat="1" ht="15" customHeight="1" x14ac:dyDescent="0.3"/>
    <row r="1389" customFormat="1" ht="15" customHeight="1" x14ac:dyDescent="0.3"/>
    <row r="1390" customFormat="1" ht="15" customHeight="1" x14ac:dyDescent="0.3"/>
    <row r="1391" customFormat="1" ht="15" customHeight="1" x14ac:dyDescent="0.3"/>
    <row r="1392" customFormat="1" ht="15" customHeight="1" x14ac:dyDescent="0.3"/>
    <row r="1393" customFormat="1" ht="15" customHeight="1" x14ac:dyDescent="0.3"/>
    <row r="1394" customFormat="1" ht="15" customHeight="1" x14ac:dyDescent="0.3"/>
    <row r="1395" customFormat="1" ht="15" customHeight="1" x14ac:dyDescent="0.3"/>
    <row r="1396" customFormat="1" ht="15" customHeight="1" x14ac:dyDescent="0.3"/>
    <row r="1397" customFormat="1" ht="15" customHeight="1" x14ac:dyDescent="0.3"/>
    <row r="1398" customFormat="1" ht="15" customHeight="1" x14ac:dyDescent="0.3"/>
    <row r="1399" customFormat="1" ht="15" customHeight="1" x14ac:dyDescent="0.3"/>
  </sheetData>
  <mergeCells count="4">
    <mergeCell ref="B2:AF2"/>
    <mergeCell ref="A11:AG11"/>
    <mergeCell ref="A2:A3"/>
    <mergeCell ref="AG2:AG3"/>
  </mergeCells>
  <conditionalFormatting sqref="B5:AF10">
    <cfRule type="expression" priority="1" stopIfTrue="1">
      <formula>B5=""</formula>
    </cfRule>
    <cfRule type="expression" dxfId="829" priority="2" stopIfTrue="1">
      <formula>B5=CléPersonnalisée2</formula>
    </cfRule>
    <cfRule type="expression" dxfId="828" priority="3" stopIfTrue="1">
      <formula>B5=CléPersonnalisée1</formula>
    </cfRule>
    <cfRule type="expression" dxfId="827" priority="4" stopIfTrue="1">
      <formula>B5=CléMaladie</formula>
    </cfRule>
    <cfRule type="expression" dxfId="826" priority="5" stopIfTrue="1">
      <formula>B5=CléPersonnelle</formula>
    </cfRule>
    <cfRule type="expression" dxfId="825" priority="6" stopIfTrue="1">
      <formula>B5=CléCongés</formula>
    </cfRule>
  </conditionalFormatting>
  <conditionalFormatting sqref="AG5:AG10">
    <cfRule type="dataBar" priority="18">
      <dataBar>
        <cfvo type="min"/>
        <cfvo type="num" val="31"/>
        <color theme="2" tint="-0.249977111117893"/>
      </dataBar>
      <extLst>
        <ext xmlns:x14="http://schemas.microsoft.com/office/spreadsheetml/2009/9/main" uri="{B025F937-C7B1-47D3-B67F-A62EFF666E3E}">
          <x14:id>{ECCE2C3C-1B01-4700-B60E-DAAAB19A9C1A}</x14:id>
        </ext>
      </extLst>
    </cfRule>
  </conditionalFormatting>
  <printOptions horizontalCentered="1"/>
  <pageMargins left="0.25" right="0.25" top="0.75" bottom="0.75" header="0.3" footer="0.3"/>
  <pageSetup paperSize="8" fitToHeight="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CE2C3C-1B01-4700-B60E-DAAAB19A9C1A}">
            <x14:dataBar minLength="0" maxLength="100">
              <x14:cfvo type="autoMin"/>
              <x14:cfvo type="num">
                <xm:f>31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H22"/>
  <sheetViews>
    <sheetView showGridLines="0" workbookViewId="0">
      <selection activeCell="AE25" sqref="AE25"/>
    </sheetView>
  </sheetViews>
  <sheetFormatPr baseColWidth="10" defaultColWidth="9.109375" defaultRowHeight="15" customHeight="1" x14ac:dyDescent="0.25"/>
  <cols>
    <col min="1" max="1" width="24.33203125" style="15" customWidth="1"/>
    <col min="2" max="32" width="4" style="13" customWidth="1"/>
    <col min="33" max="33" width="20.44140625" style="12" customWidth="1"/>
    <col min="34" max="34" width="9.109375" style="13"/>
    <col min="35" max="16384" width="9.109375" style="14"/>
  </cols>
  <sheetData>
    <row r="1" spans="1:34" s="1" customFormat="1" ht="50.25" customHeight="1" x14ac:dyDescent="0.3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6" t="s">
        <v>46</v>
      </c>
      <c r="B2" s="64" t="s">
        <v>54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9">
        <f>CalendrierAnnée</f>
        <v>2023</v>
      </c>
    </row>
    <row r="3" spans="1:34" ht="15.75" customHeight="1" x14ac:dyDescent="0.25">
      <c r="A3" s="66"/>
      <c r="B3" s="25" t="str">
        <f>TEXT(WEEKDAY(DATE(CalendrierAnnée,10,1),1),"jjj")</f>
        <v>dim</v>
      </c>
      <c r="C3" s="26" t="str">
        <f>TEXT(WEEKDAY(DATE(CalendrierAnnée,10,2),1),"jjj")</f>
        <v>lun</v>
      </c>
      <c r="D3" s="26" t="str">
        <f>TEXT(WEEKDAY(DATE(CalendrierAnnée,10,3),1),"jjj")</f>
        <v>mar</v>
      </c>
      <c r="E3" s="26" t="str">
        <f>TEXT(WEEKDAY(DATE(CalendrierAnnée,10,4),1),"jjj")</f>
        <v>mer</v>
      </c>
      <c r="F3" s="26" t="str">
        <f>TEXT(WEEKDAY(DATE(CalendrierAnnée,10,5),1),"jjj")</f>
        <v>jeu</v>
      </c>
      <c r="G3" s="26" t="str">
        <f>TEXT(WEEKDAY(DATE(CalendrierAnnée,10,6),1),"jjj")</f>
        <v>ven</v>
      </c>
      <c r="H3" s="26" t="str">
        <f>TEXT(WEEKDAY(DATE(CalendrierAnnée,10,7),1),"jjj")</f>
        <v>sam</v>
      </c>
      <c r="I3" s="26" t="str">
        <f>TEXT(WEEKDAY(DATE(CalendrierAnnée,10,8),1),"jjj")</f>
        <v>dim</v>
      </c>
      <c r="J3" s="26" t="str">
        <f>TEXT(WEEKDAY(DATE(CalendrierAnnée,10,9),1),"jjj")</f>
        <v>lun</v>
      </c>
      <c r="K3" s="26" t="str">
        <f>TEXT(WEEKDAY(DATE(CalendrierAnnée,10,10),1),"jjj")</f>
        <v>mar</v>
      </c>
      <c r="L3" s="26" t="str">
        <f>TEXT(WEEKDAY(DATE(CalendrierAnnée,10,11),1),"jjj")</f>
        <v>mer</v>
      </c>
      <c r="M3" s="26" t="str">
        <f>TEXT(WEEKDAY(DATE(CalendrierAnnée,10,12),1),"jjj")</f>
        <v>jeu</v>
      </c>
      <c r="N3" s="26" t="str">
        <f>TEXT(WEEKDAY(DATE(CalendrierAnnée,10,13),1),"jjj")</f>
        <v>ven</v>
      </c>
      <c r="O3" s="26" t="str">
        <f>TEXT(WEEKDAY(DATE(CalendrierAnnée,10,14),1),"jjj")</f>
        <v>sam</v>
      </c>
      <c r="P3" s="26" t="str">
        <f>TEXT(WEEKDAY(DATE(CalendrierAnnée,10,15),1),"jjj")</f>
        <v>dim</v>
      </c>
      <c r="Q3" s="26" t="str">
        <f>TEXT(WEEKDAY(DATE(CalendrierAnnée,10,16),1),"jjj")</f>
        <v>lun</v>
      </c>
      <c r="R3" s="26" t="str">
        <f>TEXT(WEEKDAY(DATE(CalendrierAnnée,10,17),1),"jjj")</f>
        <v>mar</v>
      </c>
      <c r="S3" s="26" t="str">
        <f>TEXT(WEEKDAY(DATE(CalendrierAnnée,10,18),1),"jjj")</f>
        <v>mer</v>
      </c>
      <c r="T3" s="26" t="str">
        <f>TEXT(WEEKDAY(DATE(CalendrierAnnée,10,19),1),"jjj")</f>
        <v>jeu</v>
      </c>
      <c r="U3" s="26" t="str">
        <f>TEXT(WEEKDAY(DATE(CalendrierAnnée,10,20),1),"jjj")</f>
        <v>ven</v>
      </c>
      <c r="V3" s="26" t="str">
        <f>TEXT(WEEKDAY(DATE(CalendrierAnnée,10,21),1),"jjj")</f>
        <v>sam</v>
      </c>
      <c r="W3" s="26" t="str">
        <f>TEXT(WEEKDAY(DATE(CalendrierAnnée,10,22),1),"jjj")</f>
        <v>dim</v>
      </c>
      <c r="X3" s="26" t="str">
        <f>TEXT(WEEKDAY(DATE(CalendrierAnnée,10,23),1),"jjj")</f>
        <v>lun</v>
      </c>
      <c r="Y3" s="26" t="str">
        <f>TEXT(WEEKDAY(DATE(CalendrierAnnée,10,24),1),"jjj")</f>
        <v>mar</v>
      </c>
      <c r="Z3" s="26" t="str">
        <f>TEXT(WEEKDAY(DATE(CalendrierAnnée,10,25),1),"jjj")</f>
        <v>mer</v>
      </c>
      <c r="AA3" s="26" t="str">
        <f>TEXT(WEEKDAY(DATE(CalendrierAnnée,10,26),1),"jjj")</f>
        <v>jeu</v>
      </c>
      <c r="AB3" s="26" t="str">
        <f>TEXT(WEEKDAY(DATE(CalendrierAnnée,10,27),1),"jjj")</f>
        <v>ven</v>
      </c>
      <c r="AC3" s="26" t="str">
        <f>TEXT(WEEKDAY(DATE(CalendrierAnnée,10,28),1),"jjj")</f>
        <v>sam</v>
      </c>
      <c r="AD3" s="26" t="str">
        <f>TEXT(WEEKDAY(DATE(CalendrierAnnée,10,29),1),"jjj")</f>
        <v>dim</v>
      </c>
      <c r="AE3" s="26" t="str">
        <f>TEXT(WEEKDAY(DATE(CalendrierAnnée,10,30),1),"jjj")</f>
        <v>lun</v>
      </c>
      <c r="AF3" s="26" t="str">
        <f>TEXT(WEEKDAY(DATE(CalendrierAnnée,10,31),1),"jjj")</f>
        <v>mar</v>
      </c>
      <c r="AG3" s="69"/>
    </row>
    <row r="4" spans="1:34" s="1" customFormat="1" ht="14.4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ht="14.4" x14ac:dyDescent="0.3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COUNTA(tblOctobre[[#This Row],[1]:[29]])</f>
        <v>0</v>
      </c>
      <c r="AH5" s="2"/>
    </row>
    <row r="6" spans="1:34" s="1" customFormat="1" ht="14.4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COUNTA(tblOctobre[[#This Row],[1]:[29]])</f>
        <v>0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COUNTA(tblOctobre[[#This Row],[1]:[29]])</f>
        <v>0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COUNTA(tblOctobre[[#This Row],[1]:[29]])</f>
        <v>0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COUNTA(tblOctobre[[#This Row],[1]:[29]])</f>
        <v>0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COUNTA(tblOctobre[[#This Row],[1]:[29]])</f>
        <v>0</v>
      </c>
    </row>
    <row r="11" spans="1:34" ht="1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4" spans="1:34" ht="1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14"/>
      <c r="AF14" s="14"/>
      <c r="AG14" s="14"/>
      <c r="AH14" s="14"/>
    </row>
    <row r="15" spans="1:34" ht="1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14"/>
      <c r="AF15" s="14"/>
      <c r="AG15" s="14"/>
      <c r="AH15" s="14"/>
    </row>
    <row r="16" spans="1:34" ht="1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14"/>
      <c r="AF16" s="14"/>
      <c r="AG16" s="14"/>
      <c r="AH16" s="14"/>
    </row>
    <row r="17" spans="1:34" ht="1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14"/>
      <c r="AF17" s="14"/>
      <c r="AG17" s="14"/>
      <c r="AH17" s="14"/>
    </row>
    <row r="18" spans="1:34" ht="15" customHeight="1" x14ac:dyDescent="0.25">
      <c r="C18" s="14"/>
      <c r="D18" s="14"/>
      <c r="E18" s="14"/>
      <c r="F18" s="14"/>
      <c r="G18" s="14"/>
      <c r="H18" s="14"/>
      <c r="I18" s="14"/>
      <c r="J18" s="14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14"/>
      <c r="AF18" s="14"/>
      <c r="AG18" s="14"/>
      <c r="AH18" s="14"/>
    </row>
    <row r="19" spans="1:34" ht="15" customHeight="1" x14ac:dyDescent="0.25">
      <c r="C19" s="14"/>
      <c r="D19" s="14"/>
      <c r="E19" s="14"/>
      <c r="F19" s="14"/>
      <c r="G19" s="14"/>
      <c r="H19" s="14"/>
      <c r="I19" s="14"/>
      <c r="J19" s="14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14"/>
      <c r="AF19" s="14"/>
      <c r="AG19" s="14"/>
      <c r="AH19" s="14"/>
    </row>
    <row r="20" spans="1:34" ht="15" customHeight="1" x14ac:dyDescent="0.25">
      <c r="C20" s="14"/>
      <c r="D20" s="14"/>
      <c r="E20" s="14"/>
      <c r="F20" s="14"/>
      <c r="G20" s="14"/>
      <c r="H20" s="14"/>
      <c r="I20" s="14"/>
      <c r="J20" s="14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14"/>
      <c r="AF20" s="14"/>
      <c r="AG20" s="14"/>
      <c r="AH20" s="14"/>
    </row>
    <row r="21" spans="1:34" ht="15" customHeight="1" x14ac:dyDescent="0.25">
      <c r="C21" s="14"/>
      <c r="D21" s="14"/>
      <c r="E21" s="14"/>
      <c r="F21" s="14"/>
      <c r="G21" s="14"/>
      <c r="H21" s="14"/>
      <c r="I21" s="14"/>
      <c r="J21" s="14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14"/>
      <c r="AF21" s="14"/>
      <c r="AG21" s="14"/>
      <c r="AH21" s="14"/>
    </row>
    <row r="22" spans="1:34" ht="15" customHeight="1" x14ac:dyDescent="0.25"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</conditionalFormatting>
  <conditionalFormatting sqref="B5:AF10">
    <cfRule type="expression" dxfId="206" priority="2" stopIfTrue="1">
      <formula>B5=CléPersonnalisée2</formula>
    </cfRule>
    <cfRule type="expression" dxfId="205" priority="3" stopIfTrue="1">
      <formula>B5=CléPersonnalisée1</formula>
    </cfRule>
    <cfRule type="expression" dxfId="204" priority="4" stopIfTrue="1">
      <formula>B5=CléMaladie</formula>
    </cfRule>
    <cfRule type="expression" dxfId="203" priority="5" stopIfTrue="1">
      <formula>B5=CléPersonnelle</formula>
    </cfRule>
    <cfRule type="expression" dxfId="202" priority="6" stopIfTrue="1">
      <formula>B5=CléCongés</formula>
    </cfRule>
  </conditionalFormatting>
  <conditionalFormatting sqref="AG5:AG10">
    <cfRule type="dataBar" priority="28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{A550AEEE-9357-4FFF-B99F-F96B7CA41630}</x14:id>
        </ext>
      </extLst>
    </cfRule>
  </conditionalFormatting>
  <pageMargins left="0.25" right="0.25" top="0.75" bottom="0.75" header="0.3" footer="0.3"/>
  <pageSetup scale="77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550AEEE-9357-4FFF-B99F-F96B7CA41630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H24"/>
  <sheetViews>
    <sheetView showGridLines="0" workbookViewId="0">
      <selection activeCell="AF22" sqref="AF22"/>
    </sheetView>
  </sheetViews>
  <sheetFormatPr baseColWidth="10" defaultColWidth="9.109375" defaultRowHeight="15" customHeight="1" x14ac:dyDescent="0.25"/>
  <cols>
    <col min="1" max="1" width="24.33203125" style="15" customWidth="1"/>
    <col min="2" max="32" width="4" style="13" customWidth="1"/>
    <col min="33" max="33" width="20.44140625" style="12" customWidth="1"/>
    <col min="34" max="34" width="9.109375" style="13"/>
    <col min="35" max="16384" width="9.109375" style="14"/>
  </cols>
  <sheetData>
    <row r="1" spans="1:34" s="1" customFormat="1" ht="50.25" customHeight="1" x14ac:dyDescent="0.3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6" t="s">
        <v>47</v>
      </c>
      <c r="B2" s="64" t="s">
        <v>54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9">
        <f>CalendrierAnnée</f>
        <v>2023</v>
      </c>
    </row>
    <row r="3" spans="1:34" ht="15.75" customHeight="1" x14ac:dyDescent="0.25">
      <c r="A3" s="66"/>
      <c r="B3" s="25" t="str">
        <f>TEXT(WEEKDAY(DATE(CalendrierAnnée,11,1),1),"jjj")</f>
        <v>mer</v>
      </c>
      <c r="C3" s="26" t="str">
        <f>TEXT(WEEKDAY(DATE(CalendrierAnnée,11,2),1),"jjj")</f>
        <v>jeu</v>
      </c>
      <c r="D3" s="26" t="str">
        <f>TEXT(WEEKDAY(DATE(CalendrierAnnée,11,3),1),"jjj")</f>
        <v>ven</v>
      </c>
      <c r="E3" s="26" t="str">
        <f>TEXT(WEEKDAY(DATE(CalendrierAnnée,11,4),1),"jjj")</f>
        <v>sam</v>
      </c>
      <c r="F3" s="26" t="str">
        <f>TEXT(WEEKDAY(DATE(CalendrierAnnée,11,5),1),"jjj")</f>
        <v>dim</v>
      </c>
      <c r="G3" s="26" t="str">
        <f>TEXT(WEEKDAY(DATE(CalendrierAnnée,11,6),1),"jjj")</f>
        <v>lun</v>
      </c>
      <c r="H3" s="26" t="str">
        <f>TEXT(WEEKDAY(DATE(CalendrierAnnée,11,7),1),"jjj")</f>
        <v>mar</v>
      </c>
      <c r="I3" s="26" t="str">
        <f>TEXT(WEEKDAY(DATE(CalendrierAnnée,11,8),1),"jjj")</f>
        <v>mer</v>
      </c>
      <c r="J3" s="26" t="str">
        <f>TEXT(WEEKDAY(DATE(CalendrierAnnée,11,9),1),"jjj")</f>
        <v>jeu</v>
      </c>
      <c r="K3" s="26" t="str">
        <f>TEXT(WEEKDAY(DATE(CalendrierAnnée,11,10),1),"jjj")</f>
        <v>ven</v>
      </c>
      <c r="L3" s="26" t="str">
        <f>TEXT(WEEKDAY(DATE(CalendrierAnnée,11,11),1),"jjj")</f>
        <v>sam</v>
      </c>
      <c r="M3" s="26" t="str">
        <f>TEXT(WEEKDAY(DATE(CalendrierAnnée,11,12),1),"jjj")</f>
        <v>dim</v>
      </c>
      <c r="N3" s="26" t="str">
        <f>TEXT(WEEKDAY(DATE(CalendrierAnnée,11,13),1),"jjj")</f>
        <v>lun</v>
      </c>
      <c r="O3" s="26" t="str">
        <f>TEXT(WEEKDAY(DATE(CalendrierAnnée,11,14),1),"jjj")</f>
        <v>mar</v>
      </c>
      <c r="P3" s="26" t="str">
        <f>TEXT(WEEKDAY(DATE(CalendrierAnnée,11,15),1),"jjj")</f>
        <v>mer</v>
      </c>
      <c r="Q3" s="26" t="str">
        <f>TEXT(WEEKDAY(DATE(CalendrierAnnée,11,16),1),"jjj")</f>
        <v>jeu</v>
      </c>
      <c r="R3" s="26" t="str">
        <f>TEXT(WEEKDAY(DATE(CalendrierAnnée,11,17),1),"jjj")</f>
        <v>ven</v>
      </c>
      <c r="S3" s="26" t="str">
        <f>TEXT(WEEKDAY(DATE(CalendrierAnnée,11,18),1),"jjj")</f>
        <v>sam</v>
      </c>
      <c r="T3" s="26" t="str">
        <f>TEXT(WEEKDAY(DATE(CalendrierAnnée,11,19),1),"jjj")</f>
        <v>dim</v>
      </c>
      <c r="U3" s="26" t="str">
        <f>TEXT(WEEKDAY(DATE(CalendrierAnnée,11,20),1),"jjj")</f>
        <v>lun</v>
      </c>
      <c r="V3" s="26" t="str">
        <f>TEXT(WEEKDAY(DATE(CalendrierAnnée,11,21),1),"jjj")</f>
        <v>mar</v>
      </c>
      <c r="W3" s="26" t="str">
        <f>TEXT(WEEKDAY(DATE(CalendrierAnnée,11,22),1),"jjj")</f>
        <v>mer</v>
      </c>
      <c r="X3" s="26" t="str">
        <f>TEXT(WEEKDAY(DATE(CalendrierAnnée,11,23),1),"jjj")</f>
        <v>jeu</v>
      </c>
      <c r="Y3" s="26" t="str">
        <f>TEXT(WEEKDAY(DATE(CalendrierAnnée,11,24),1),"jjj")</f>
        <v>ven</v>
      </c>
      <c r="Z3" s="26" t="str">
        <f>TEXT(WEEKDAY(DATE(CalendrierAnnée,11,25),1),"jjj")</f>
        <v>sam</v>
      </c>
      <c r="AA3" s="26" t="str">
        <f>TEXT(WEEKDAY(DATE(CalendrierAnnée,11,26),1),"jjj")</f>
        <v>dim</v>
      </c>
      <c r="AB3" s="26" t="str">
        <f>TEXT(WEEKDAY(DATE(CalendrierAnnée,11,27),1),"jjj")</f>
        <v>lun</v>
      </c>
      <c r="AC3" s="26" t="str">
        <f>TEXT(WEEKDAY(DATE(CalendrierAnnée,11,28),1),"jjj")</f>
        <v>mar</v>
      </c>
      <c r="AD3" s="26" t="str">
        <f>TEXT(WEEKDAY(DATE(CalendrierAnnée,11,29),1),"jjj")</f>
        <v>mer</v>
      </c>
      <c r="AE3" s="26" t="str">
        <f>TEXT(WEEKDAY(DATE(CalendrierAnnée,11,30),1),"jjj")</f>
        <v>jeu</v>
      </c>
      <c r="AF3" s="26"/>
      <c r="AG3" s="69"/>
    </row>
    <row r="4" spans="1:34" s="1" customFormat="1" ht="14.4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33</v>
      </c>
      <c r="AG4" s="7" t="s">
        <v>31</v>
      </c>
      <c r="AH4" s="2"/>
    </row>
    <row r="5" spans="1:34" s="1" customFormat="1" ht="14.4" x14ac:dyDescent="0.3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COUNTA(tblNovembre[[#This Row],[1]:[29]])</f>
        <v>0</v>
      </c>
      <c r="AH5" s="2"/>
    </row>
    <row r="6" spans="1:34" s="1" customFormat="1" ht="14.4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COUNTA(tblNovembre[[#This Row],[1]:[29]])</f>
        <v>0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COUNTA(tblNovembre[[#This Row],[1]:[29]])</f>
        <v>0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COUNTA(tblNovembre[[#This Row],[1]:[29]])</f>
        <v>0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COUNTA(tblNovembre[[#This Row],[1]:[29]])</f>
        <v>0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2"/>
      <c r="M10" s="42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COUNTA(tblNovembre[[#This Row],[1]:[29]])</f>
        <v>0</v>
      </c>
    </row>
    <row r="11" spans="1:34" ht="1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46"/>
      <c r="X12" s="40" t="str">
        <f>ÉtiquetteCléPersonnalisée2</f>
        <v>Personnalisé 2</v>
      </c>
      <c r="Y12" s="36"/>
      <c r="Z12" s="37"/>
    </row>
    <row r="14" spans="1:34" ht="15" customHeight="1" x14ac:dyDescent="0.25">
      <c r="A14" s="12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14"/>
      <c r="AD14" s="14"/>
      <c r="AE14" s="14"/>
      <c r="AF14" s="14"/>
      <c r="AG14" s="14"/>
      <c r="AH14" s="14"/>
    </row>
    <row r="15" spans="1:34" ht="15" customHeight="1" x14ac:dyDescent="0.25">
      <c r="A15" s="12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14"/>
      <c r="AD15" s="14"/>
      <c r="AE15" s="14"/>
      <c r="AF15" s="14"/>
      <c r="AG15" s="14"/>
      <c r="AH15" s="14"/>
    </row>
    <row r="16" spans="1:34" ht="15" customHeight="1" x14ac:dyDescent="0.25">
      <c r="A16" s="12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14"/>
      <c r="AD16" s="14"/>
      <c r="AE16" s="14"/>
      <c r="AF16" s="14"/>
      <c r="AG16" s="14"/>
      <c r="AH16" s="14"/>
    </row>
    <row r="17" spans="1:34" ht="15" customHeight="1" x14ac:dyDescent="0.25">
      <c r="A17" s="12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14"/>
      <c r="AD17" s="14"/>
      <c r="AE17" s="14"/>
      <c r="AF17" s="14"/>
      <c r="AG17" s="14"/>
      <c r="AH17" s="14"/>
    </row>
    <row r="18" spans="1:34" ht="15" customHeight="1" x14ac:dyDescent="0.25">
      <c r="A18" s="12"/>
      <c r="B18" s="59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14"/>
      <c r="AD18" s="14"/>
      <c r="AE18" s="14"/>
      <c r="AF18" s="14"/>
      <c r="AG18" s="14"/>
      <c r="AH18" s="14"/>
    </row>
    <row r="19" spans="1:34" ht="15" customHeight="1" x14ac:dyDescent="0.25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</row>
    <row r="20" spans="1:34" ht="15" customHeight="1" x14ac:dyDescent="0.25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</row>
    <row r="21" spans="1:34" ht="15" customHeight="1" x14ac:dyDescent="0.25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</row>
    <row r="22" spans="1:34" ht="15" customHeight="1" x14ac:dyDescent="0.25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</row>
    <row r="23" spans="1:34" ht="15" customHeight="1" x14ac:dyDescent="0.25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</row>
    <row r="24" spans="1:34" ht="15" customHeight="1" x14ac:dyDescent="0.25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</conditionalFormatting>
  <conditionalFormatting sqref="B5:AF10">
    <cfRule type="expression" dxfId="137" priority="2" stopIfTrue="1">
      <formula>B5=CléPersonnalisée2</formula>
    </cfRule>
    <cfRule type="expression" dxfId="136" priority="3" stopIfTrue="1">
      <formula>B5=CléPersonnalisée1</formula>
    </cfRule>
    <cfRule type="expression" dxfId="135" priority="4" stopIfTrue="1">
      <formula>B5=CléMaladie</formula>
    </cfRule>
    <cfRule type="expression" dxfId="134" priority="5" stopIfTrue="1">
      <formula>B5=CléPersonnelle</formula>
    </cfRule>
    <cfRule type="expression" dxfId="133" priority="6" stopIfTrue="1">
      <formula>B5=CléCongés</formula>
    </cfRule>
  </conditionalFormatting>
  <conditionalFormatting sqref="AG5:AG10">
    <cfRule type="dataBar" priority="29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{A15D8916-F091-4425-9705-45472C7168ED}</x14:id>
        </ext>
      </extLst>
    </cfRule>
  </conditionalFormatting>
  <pageMargins left="0.25" right="0.25" top="0.75" bottom="0.75" header="0.3" footer="0.3"/>
  <pageSetup paperSize="8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15D8916-F091-4425-9705-45472C7168ED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AH19"/>
  <sheetViews>
    <sheetView showGridLines="0" workbookViewId="0">
      <selection activeCell="U24" sqref="U24"/>
    </sheetView>
  </sheetViews>
  <sheetFormatPr baseColWidth="10" defaultColWidth="9.109375" defaultRowHeight="15" customHeight="1" x14ac:dyDescent="0.25"/>
  <cols>
    <col min="1" max="1" width="24.33203125" style="15" customWidth="1"/>
    <col min="2" max="32" width="4" style="13" customWidth="1"/>
    <col min="33" max="33" width="20.44140625" style="12" customWidth="1"/>
    <col min="34" max="34" width="9.109375" style="13"/>
    <col min="35" max="16384" width="9.109375" style="14"/>
  </cols>
  <sheetData>
    <row r="1" spans="1:34" s="1" customFormat="1" ht="50.25" customHeight="1" x14ac:dyDescent="0.3">
      <c r="A1" s="24" t="s">
        <v>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6" t="s">
        <v>48</v>
      </c>
      <c r="B2" s="64" t="s">
        <v>64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9">
        <f>CalendrierAnnée</f>
        <v>2023</v>
      </c>
    </row>
    <row r="3" spans="1:34" ht="15.75" customHeight="1" x14ac:dyDescent="0.25">
      <c r="A3" s="66"/>
      <c r="B3" s="25" t="str">
        <f>TEXT(WEEKDAY(DATE(CalendrierAnnée,12,1),1),"jjj")</f>
        <v>ven</v>
      </c>
      <c r="C3" s="26" t="str">
        <f>TEXT(WEEKDAY(DATE(CalendrierAnnée,12,2),1),"jjj")</f>
        <v>sam</v>
      </c>
      <c r="D3" s="26" t="str">
        <f>TEXT(WEEKDAY(DATE(CalendrierAnnée,12,3),1),"jjj")</f>
        <v>dim</v>
      </c>
      <c r="E3" s="26" t="str">
        <f>TEXT(WEEKDAY(DATE(CalendrierAnnée,12,4),1),"jjj")</f>
        <v>lun</v>
      </c>
      <c r="F3" s="26" t="str">
        <f>TEXT(WEEKDAY(DATE(CalendrierAnnée,12,5),1),"jjj")</f>
        <v>mar</v>
      </c>
      <c r="G3" s="26" t="str">
        <f>TEXT(WEEKDAY(DATE(CalendrierAnnée,12,6),1),"jjj")</f>
        <v>mer</v>
      </c>
      <c r="H3" s="26" t="str">
        <f>TEXT(WEEKDAY(DATE(CalendrierAnnée,12,7),1),"jjj")</f>
        <v>jeu</v>
      </c>
      <c r="I3" s="26" t="str">
        <f>TEXT(WEEKDAY(DATE(CalendrierAnnée,12,8),1),"jjj")</f>
        <v>ven</v>
      </c>
      <c r="J3" s="26" t="str">
        <f>TEXT(WEEKDAY(DATE(CalendrierAnnée,12,9),1),"jjj")</f>
        <v>sam</v>
      </c>
      <c r="K3" s="26" t="str">
        <f>TEXT(WEEKDAY(DATE(CalendrierAnnée,12,10),1),"jjj")</f>
        <v>dim</v>
      </c>
      <c r="L3" s="26" t="str">
        <f>TEXT(WEEKDAY(DATE(CalendrierAnnée,12,11),1),"jjj")</f>
        <v>lun</v>
      </c>
      <c r="M3" s="26" t="str">
        <f>TEXT(WEEKDAY(DATE(CalendrierAnnée,12,12),1),"jjj")</f>
        <v>mar</v>
      </c>
      <c r="N3" s="26" t="str">
        <f>TEXT(WEEKDAY(DATE(CalendrierAnnée,12,13),1),"jjj")</f>
        <v>mer</v>
      </c>
      <c r="O3" s="26" t="str">
        <f>TEXT(WEEKDAY(DATE(CalendrierAnnée,12,14),1),"jjj")</f>
        <v>jeu</v>
      </c>
      <c r="P3" s="26" t="str">
        <f>TEXT(WEEKDAY(DATE(CalendrierAnnée,12,15),1),"jjj")</f>
        <v>ven</v>
      </c>
      <c r="Q3" s="26" t="str">
        <f>TEXT(WEEKDAY(DATE(CalendrierAnnée,12,16),1),"jjj")</f>
        <v>sam</v>
      </c>
      <c r="R3" s="26" t="str">
        <f>TEXT(WEEKDAY(DATE(CalendrierAnnée,12,17),1),"jjj")</f>
        <v>dim</v>
      </c>
      <c r="S3" s="26" t="str">
        <f>TEXT(WEEKDAY(DATE(CalendrierAnnée,12,18),1),"jjj")</f>
        <v>lun</v>
      </c>
      <c r="T3" s="26" t="str">
        <f>TEXT(WEEKDAY(DATE(CalendrierAnnée,12,19),1),"jjj")</f>
        <v>mar</v>
      </c>
      <c r="U3" s="26" t="str">
        <f>TEXT(WEEKDAY(DATE(CalendrierAnnée,12,20),1),"jjj")</f>
        <v>mer</v>
      </c>
      <c r="V3" s="26" t="str">
        <f>TEXT(WEEKDAY(DATE(CalendrierAnnée,12,21),1),"jjj")</f>
        <v>jeu</v>
      </c>
      <c r="W3" s="26" t="str">
        <f>TEXT(WEEKDAY(DATE(CalendrierAnnée,12,22),1),"jjj")</f>
        <v>ven</v>
      </c>
      <c r="X3" s="26" t="str">
        <f>TEXT(WEEKDAY(DATE(CalendrierAnnée,12,23),1),"jjj")</f>
        <v>sam</v>
      </c>
      <c r="Y3" s="26" t="str">
        <f>TEXT(WEEKDAY(DATE(CalendrierAnnée,12,24),1),"jjj")</f>
        <v>dim</v>
      </c>
      <c r="Z3" s="26" t="str">
        <f>TEXT(WEEKDAY(DATE(CalendrierAnnée,12,25),1),"jjj")</f>
        <v>lun</v>
      </c>
      <c r="AA3" s="26" t="str">
        <f>TEXT(WEEKDAY(DATE(CalendrierAnnée,12,26),1),"jjj")</f>
        <v>mar</v>
      </c>
      <c r="AB3" s="26" t="str">
        <f>TEXT(WEEKDAY(DATE(CalendrierAnnée,12,27),1),"jjj")</f>
        <v>mer</v>
      </c>
      <c r="AC3" s="26" t="str">
        <f>TEXT(WEEKDAY(DATE(CalendrierAnnée,12,28),1),"jjj")</f>
        <v>jeu</v>
      </c>
      <c r="AD3" s="26" t="str">
        <f>TEXT(WEEKDAY(DATE(CalendrierAnnée,12,29),1),"jjj")</f>
        <v>ven</v>
      </c>
      <c r="AE3" s="26" t="str">
        <f>TEXT(WEEKDAY(DATE(CalendrierAnnée,12,30),1),"jjj")</f>
        <v>sam</v>
      </c>
      <c r="AF3" s="26" t="str">
        <f>TEXT(WEEKDAY(DATE(CalendrierAnnée,12,31),1),"jjj")</f>
        <v>dim</v>
      </c>
      <c r="AG3" s="69"/>
    </row>
    <row r="4" spans="1:34" s="1" customFormat="1" ht="14.4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ht="14.4" x14ac:dyDescent="0.3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COUNTA(tblDécembre[[#This Row],[1]:[29]])</f>
        <v>0</v>
      </c>
      <c r="AH5" s="2"/>
    </row>
    <row r="6" spans="1:34" s="1" customFormat="1" ht="14.4" x14ac:dyDescent="0.3">
      <c r="A6" s="43" t="s">
        <v>50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COUNTA(tblDécembre[[#This Row],[1]:[29]])</f>
        <v>0</v>
      </c>
      <c r="AH6" s="2"/>
    </row>
    <row r="7" spans="1:34" ht="15" customHeight="1" x14ac:dyDescent="0.25">
      <c r="A7" s="43" t="s">
        <v>51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COUNTA(tblDécembre[[#This Row],[1]:[29]])</f>
        <v>0</v>
      </c>
    </row>
    <row r="8" spans="1:34" ht="15" customHeight="1" x14ac:dyDescent="0.25">
      <c r="A8" s="43" t="s">
        <v>52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COUNTA(tblDécembre[[#This Row],[1]:[29]])</f>
        <v>0</v>
      </c>
    </row>
    <row r="9" spans="1:34" s="13" customFormat="1" ht="15" customHeight="1" x14ac:dyDescent="0.25">
      <c r="A9" s="43" t="s">
        <v>53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COUNTA(tblDécembre[[#This Row],[1]:[29]])</f>
        <v>0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COUNTA(tblDécembre[[#This Row],[1]:[29]])</f>
        <v>0</v>
      </c>
    </row>
    <row r="11" spans="1:34" ht="1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3" spans="1:34" ht="15" customHeight="1" x14ac:dyDescent="0.25">
      <c r="O13" s="12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ht="15" customHeight="1" x14ac:dyDescent="0.25">
      <c r="B14" s="59"/>
      <c r="C14" s="59"/>
      <c r="D14" s="59"/>
      <c r="E14" s="59"/>
      <c r="F14" s="59"/>
      <c r="G14" s="59"/>
      <c r="H14" s="59"/>
      <c r="I14" s="61"/>
      <c r="J14" s="59"/>
      <c r="K14" s="58"/>
      <c r="L14" s="58"/>
      <c r="M14" s="58"/>
      <c r="N14" s="58"/>
      <c r="O14" s="58"/>
      <c r="P14" s="58"/>
      <c r="Q14" s="58"/>
      <c r="R14" s="58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B15" s="59"/>
      <c r="C15" s="59"/>
      <c r="D15" s="59"/>
      <c r="E15" s="59"/>
      <c r="F15" s="59"/>
      <c r="G15" s="59"/>
      <c r="H15" s="59"/>
      <c r="I15" s="61"/>
      <c r="J15" s="59"/>
      <c r="K15" s="58"/>
      <c r="L15" s="58"/>
      <c r="M15" s="58"/>
      <c r="N15" s="58"/>
      <c r="O15" s="58"/>
      <c r="P15" s="58"/>
      <c r="Q15" s="58"/>
      <c r="R15" s="58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B16" s="59"/>
      <c r="C16" s="59"/>
      <c r="D16" s="59"/>
      <c r="E16" s="59"/>
      <c r="F16" s="59"/>
      <c r="G16" s="59"/>
      <c r="H16" s="59"/>
      <c r="I16" s="61"/>
      <c r="J16" s="59"/>
      <c r="K16" s="58"/>
      <c r="L16" s="58"/>
      <c r="M16" s="58"/>
      <c r="N16" s="58"/>
      <c r="O16" s="58"/>
      <c r="P16" s="58"/>
      <c r="Q16" s="58"/>
      <c r="R16" s="58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2:34" ht="15" customHeight="1" x14ac:dyDescent="0.25">
      <c r="B17" s="59"/>
      <c r="C17" s="59"/>
      <c r="D17" s="59"/>
      <c r="E17" s="59"/>
      <c r="F17" s="59"/>
      <c r="G17" s="60"/>
      <c r="H17" s="59"/>
      <c r="I17" s="61"/>
      <c r="J17" s="59"/>
      <c r="K17" s="58"/>
      <c r="L17" s="58"/>
      <c r="M17" s="58"/>
      <c r="N17" s="58"/>
      <c r="O17" s="58"/>
      <c r="P17" s="58"/>
      <c r="Q17" s="58"/>
      <c r="R17" s="58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2:34" ht="15" customHeight="1" x14ac:dyDescent="0.25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61"/>
      <c r="P18" s="59"/>
      <c r="Q18" s="58"/>
      <c r="R18" s="58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2:34" ht="15" customHeight="1" x14ac:dyDescent="0.25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</conditionalFormatting>
  <conditionalFormatting sqref="B5:AF10">
    <cfRule type="expression" dxfId="68" priority="2" stopIfTrue="1">
      <formula>B5=CléPersonnalisée2</formula>
    </cfRule>
    <cfRule type="expression" dxfId="67" priority="3" stopIfTrue="1">
      <formula>B5=CléPersonnalisée1</formula>
    </cfRule>
    <cfRule type="expression" dxfId="66" priority="4" stopIfTrue="1">
      <formula>B5=CléMaladie</formula>
    </cfRule>
    <cfRule type="expression" dxfId="65" priority="5" stopIfTrue="1">
      <formula>B5=CléPersonnelle</formula>
    </cfRule>
    <cfRule type="expression" dxfId="64" priority="6" stopIfTrue="1">
      <formula>B5=CléCongés</formula>
    </cfRule>
  </conditionalFormatting>
  <conditionalFormatting sqref="AG5:AG10">
    <cfRule type="dataBar" priority="30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{17586780-365B-4F4C-BBB4-F5991705D361}</x14:id>
        </ext>
      </extLst>
    </cfRule>
  </conditionalFormatting>
  <pageMargins left="0.25" right="0.25" top="0.75" bottom="0.75" header="0.3" footer="0.3"/>
  <pageSetup scale="77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586780-365B-4F4C-BBB4-F5991705D361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AH21"/>
  <sheetViews>
    <sheetView showGridLines="0" workbookViewId="0">
      <selection activeCell="AE26" sqref="AE26"/>
    </sheetView>
  </sheetViews>
  <sheetFormatPr baseColWidth="10" defaultColWidth="9.109375" defaultRowHeight="15" customHeight="1" x14ac:dyDescent="0.25"/>
  <cols>
    <col min="1" max="1" width="24.33203125" style="15" customWidth="1"/>
    <col min="2" max="32" width="4" style="13" customWidth="1"/>
    <col min="33" max="33" width="20.44140625" style="12" customWidth="1"/>
    <col min="34" max="34" width="9.109375" style="13"/>
    <col min="35" max="16384" width="9.109375" style="14"/>
  </cols>
  <sheetData>
    <row r="1" spans="1:34" s="1" customFormat="1" ht="50.25" customHeight="1" x14ac:dyDescent="0.3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6" t="s">
        <v>38</v>
      </c>
      <c r="B2" s="64" t="s">
        <v>64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9">
        <f>CalendrierAnnée</f>
        <v>2023</v>
      </c>
    </row>
    <row r="3" spans="1:34" ht="15.75" customHeight="1" x14ac:dyDescent="0.25">
      <c r="A3" s="66"/>
      <c r="B3" s="25" t="str">
        <f>TEXT(WEEKDAY(DATE(CalendrierAnnée,2,1),1),"jjj")</f>
        <v>mer</v>
      </c>
      <c r="C3" s="26" t="str">
        <f>TEXT(WEEKDAY(DATE(CalendrierAnnée,2,2),1),"jjj")</f>
        <v>jeu</v>
      </c>
      <c r="D3" s="26" t="str">
        <f>TEXT(WEEKDAY(DATE(CalendrierAnnée,2,3),1),"jjj")</f>
        <v>ven</v>
      </c>
      <c r="E3" s="26" t="str">
        <f>TEXT(WEEKDAY(DATE(CalendrierAnnée,2,4),1),"jjj")</f>
        <v>sam</v>
      </c>
      <c r="F3" s="26" t="str">
        <f>TEXT(WEEKDAY(DATE(CalendrierAnnée,2,5),1),"jjj")</f>
        <v>dim</v>
      </c>
      <c r="G3" s="26" t="str">
        <f>TEXT(WEEKDAY(DATE(CalendrierAnnée,2,6),1),"jjj")</f>
        <v>lun</v>
      </c>
      <c r="H3" s="26" t="str">
        <f>TEXT(WEEKDAY(DATE(CalendrierAnnée,2,7),1),"jjj")</f>
        <v>mar</v>
      </c>
      <c r="I3" s="26" t="str">
        <f>TEXT(WEEKDAY(DATE(CalendrierAnnée,2,8),1),"jjj")</f>
        <v>mer</v>
      </c>
      <c r="J3" s="26" t="str">
        <f>TEXT(WEEKDAY(DATE(CalendrierAnnée,2,9),1),"jjj")</f>
        <v>jeu</v>
      </c>
      <c r="K3" s="26" t="str">
        <f>TEXT(WEEKDAY(DATE(CalendrierAnnée,2,10),1),"jjj")</f>
        <v>ven</v>
      </c>
      <c r="L3" s="26" t="str">
        <f>TEXT(WEEKDAY(DATE(CalendrierAnnée,2,11),1),"jjj")</f>
        <v>sam</v>
      </c>
      <c r="M3" s="26" t="str">
        <f>TEXT(WEEKDAY(DATE(CalendrierAnnée,2,12),1),"jjj")</f>
        <v>dim</v>
      </c>
      <c r="N3" s="26" t="str">
        <f>TEXT(WEEKDAY(DATE(CalendrierAnnée,2,13),1),"jjj")</f>
        <v>lun</v>
      </c>
      <c r="O3" s="26" t="str">
        <f>TEXT(WEEKDAY(DATE(CalendrierAnnée,2,14),1),"jjj")</f>
        <v>mar</v>
      </c>
      <c r="P3" s="26" t="str">
        <f>TEXT(WEEKDAY(DATE(CalendrierAnnée,2,15),1),"jjj")</f>
        <v>mer</v>
      </c>
      <c r="Q3" s="26" t="str">
        <f>TEXT(WEEKDAY(DATE(CalendrierAnnée,2,16),1),"jjj")</f>
        <v>jeu</v>
      </c>
      <c r="R3" s="26" t="str">
        <f>TEXT(WEEKDAY(DATE(CalendrierAnnée,2,17),1),"jjj")</f>
        <v>ven</v>
      </c>
      <c r="S3" s="26" t="str">
        <f>TEXT(WEEKDAY(DATE(CalendrierAnnée,2,18),1),"jjj")</f>
        <v>sam</v>
      </c>
      <c r="T3" s="26" t="str">
        <f>TEXT(WEEKDAY(DATE(CalendrierAnnée,2,19),1),"jjj")</f>
        <v>dim</v>
      </c>
      <c r="U3" s="26" t="str">
        <f>TEXT(WEEKDAY(DATE(CalendrierAnnée,2,20),1),"jjj")</f>
        <v>lun</v>
      </c>
      <c r="V3" s="26" t="str">
        <f>TEXT(WEEKDAY(DATE(CalendrierAnnée,2,21),1),"jjj")</f>
        <v>mar</v>
      </c>
      <c r="W3" s="26" t="str">
        <f>TEXT(WEEKDAY(DATE(CalendrierAnnée,2,22),1),"jjj")</f>
        <v>mer</v>
      </c>
      <c r="X3" s="26" t="str">
        <f>TEXT(WEEKDAY(DATE(CalendrierAnnée,2,23),1),"jjj")</f>
        <v>jeu</v>
      </c>
      <c r="Y3" s="26" t="str">
        <f>TEXT(WEEKDAY(DATE(CalendrierAnnée,2,24),1),"jjj")</f>
        <v>ven</v>
      </c>
      <c r="Z3" s="26" t="str">
        <f>TEXT(WEEKDAY(DATE(CalendrierAnnée,2,25),1),"jjj")</f>
        <v>sam</v>
      </c>
      <c r="AA3" s="26" t="str">
        <f>TEXT(WEEKDAY(DATE(CalendrierAnnée,2,26),1),"jjj")</f>
        <v>dim</v>
      </c>
      <c r="AB3" s="26" t="str">
        <f>TEXT(WEEKDAY(DATE(CalendrierAnnée,2,27),1),"jjj")</f>
        <v>lun</v>
      </c>
      <c r="AC3" s="26" t="str">
        <f>TEXT(WEEKDAY(DATE(CalendrierAnnée,2,28),1),"jjj")</f>
        <v>mar</v>
      </c>
      <c r="AD3" s="26" t="str">
        <f>TEXT(WEEKDAY(DATE(CalendrierAnnée,2,29),1),"jjj")</f>
        <v>mer</v>
      </c>
      <c r="AE3" s="26"/>
      <c r="AF3" s="27"/>
      <c r="AG3" s="69"/>
    </row>
    <row r="4" spans="1:34" s="1" customFormat="1" ht="14.4" x14ac:dyDescent="0.3">
      <c r="A4" s="34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33</v>
      </c>
      <c r="AF4" s="7" t="s">
        <v>34</v>
      </c>
      <c r="AG4" s="7" t="s">
        <v>31</v>
      </c>
      <c r="AH4" s="2"/>
    </row>
    <row r="5" spans="1:34" s="1" customFormat="1" ht="14.4" x14ac:dyDescent="0.3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COUNTA(tblFévrier[[#This Row],[1]:[29]])</f>
        <v>0</v>
      </c>
      <c r="AH5" s="2"/>
    </row>
    <row r="6" spans="1:34" s="1" customFormat="1" ht="14.4" x14ac:dyDescent="0.3">
      <c r="A6" s="43" t="s">
        <v>50</v>
      </c>
      <c r="B6" s="7" t="s">
        <v>62</v>
      </c>
      <c r="C6" s="7" t="s">
        <v>62</v>
      </c>
      <c r="D6" s="7" t="s">
        <v>62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COUNTA(tblFévrier[[#This Row],[1]:[29]])</f>
        <v>3</v>
      </c>
      <c r="AH6" s="2"/>
    </row>
    <row r="7" spans="1:34" ht="15" customHeight="1" x14ac:dyDescent="0.25">
      <c r="A7" s="43" t="s">
        <v>51</v>
      </c>
      <c r="B7" s="7" t="s">
        <v>62</v>
      </c>
      <c r="C7" s="7" t="s">
        <v>62</v>
      </c>
      <c r="D7" s="7" t="s">
        <v>62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COUNTA(tblFévrier[[#This Row],[1]:[29]])</f>
        <v>3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 t="s">
        <v>62</v>
      </c>
      <c r="K8" s="7" t="s">
        <v>62</v>
      </c>
      <c r="L8" s="7" t="s">
        <v>62</v>
      </c>
      <c r="M8" s="7" t="s">
        <v>62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COUNTA(tblFévrier[[#This Row],[1]:[29]])</f>
        <v>4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 t="s">
        <v>62</v>
      </c>
      <c r="K9" s="7" t="s">
        <v>62</v>
      </c>
      <c r="L9" s="7" t="s">
        <v>62</v>
      </c>
      <c r="M9" s="7" t="s">
        <v>62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COUNTA(tblFévrier[[#This Row],[1]:[29]])</f>
        <v>4</v>
      </c>
    </row>
    <row r="10" spans="1:34" s="13" customFormat="1" ht="15" customHeight="1" x14ac:dyDescent="0.25">
      <c r="A10" s="44" t="s">
        <v>60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2"/>
      <c r="T10" s="47"/>
      <c r="U10" s="47"/>
      <c r="V10" s="47"/>
      <c r="W10" s="47"/>
      <c r="X10" s="47"/>
      <c r="Y10" s="7"/>
      <c r="Z10" s="47"/>
      <c r="AA10" s="47"/>
      <c r="AB10" s="47"/>
      <c r="AC10" s="47"/>
      <c r="AD10" s="47"/>
      <c r="AE10" s="47"/>
      <c r="AF10" s="47"/>
      <c r="AG10" s="11">
        <f>COUNTA(tblFévrier[[#This Row],[1]:[29]])</f>
        <v>0</v>
      </c>
    </row>
    <row r="11" spans="1:34" ht="1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4" spans="1:34" ht="15" customHeight="1" x14ac:dyDescent="0.25"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B16" s="52" t="s">
        <v>67</v>
      </c>
      <c r="C16" s="53"/>
      <c r="D16" s="53"/>
      <c r="G16" s="14"/>
      <c r="H16" s="14"/>
      <c r="I16" s="14"/>
      <c r="J16" s="14"/>
      <c r="K16" s="14"/>
      <c r="L16" s="14"/>
      <c r="M16" s="14"/>
      <c r="N16" s="58"/>
      <c r="O16" s="58"/>
      <c r="P16" s="58"/>
      <c r="Q16" s="58"/>
      <c r="R16" s="58"/>
      <c r="S16" s="58"/>
      <c r="T16" s="58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2:34" ht="15" customHeight="1" x14ac:dyDescent="0.25">
      <c r="B17" s="51"/>
      <c r="C17" s="51"/>
      <c r="D17" s="51"/>
      <c r="G17" s="14"/>
      <c r="H17" s="14"/>
      <c r="I17" s="14"/>
      <c r="J17" s="14"/>
      <c r="K17" s="14"/>
      <c r="L17" s="14"/>
      <c r="M17" s="14"/>
      <c r="N17" s="58"/>
      <c r="O17" s="58"/>
      <c r="P17" s="58"/>
      <c r="Q17" s="58"/>
      <c r="R17" s="58"/>
      <c r="S17" s="58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2:34" ht="15" customHeight="1" x14ac:dyDescent="0.25">
      <c r="G18" s="14"/>
      <c r="H18" s="14"/>
      <c r="I18" s="14"/>
      <c r="J18" s="14"/>
      <c r="K18" s="14"/>
      <c r="L18" s="14"/>
      <c r="M18" s="14"/>
      <c r="N18" s="58"/>
      <c r="O18" s="58"/>
      <c r="P18" s="58"/>
      <c r="Q18" s="58"/>
      <c r="R18" s="58"/>
      <c r="S18" s="58"/>
      <c r="T18" s="58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2:34" ht="15" customHeight="1" x14ac:dyDescent="0.25">
      <c r="G19" s="14"/>
      <c r="H19" s="14"/>
      <c r="I19" s="14"/>
      <c r="J19" s="49" t="s">
        <v>65</v>
      </c>
      <c r="K19" s="49"/>
      <c r="L19" s="49"/>
      <c r="M19" s="49"/>
      <c r="N19" s="58"/>
      <c r="O19" s="58"/>
      <c r="P19" s="58"/>
      <c r="Q19" s="58"/>
      <c r="R19" s="58"/>
      <c r="S19" s="58"/>
      <c r="T19" s="58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2:34" ht="15" customHeight="1" x14ac:dyDescent="0.25">
      <c r="G20" s="14"/>
      <c r="H20" s="14"/>
      <c r="I20" s="14"/>
      <c r="J20" s="50"/>
      <c r="K20" s="50"/>
      <c r="L20" s="50"/>
      <c r="M20" s="50"/>
      <c r="N20" s="58"/>
      <c r="O20" s="58"/>
      <c r="P20" s="58"/>
      <c r="Q20" s="58"/>
      <c r="R20" s="58"/>
      <c r="S20" s="58"/>
      <c r="T20" s="58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2:34" ht="15" customHeight="1" x14ac:dyDescent="0.25"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</sheetData>
  <mergeCells count="4">
    <mergeCell ref="B2:AF2"/>
    <mergeCell ref="A11:AG11"/>
    <mergeCell ref="A2:A3"/>
    <mergeCell ref="AG2:AG3"/>
  </mergeCells>
  <conditionalFormatting sqref="AD4">
    <cfRule type="expression" dxfId="760" priority="14">
      <formula>MONTH(DATE(CalendrierAnnée,2,29))&lt;&gt;2</formula>
    </cfRule>
  </conditionalFormatting>
  <conditionalFormatting sqref="AD3">
    <cfRule type="expression" dxfId="759" priority="13">
      <formula>MONTH(DATE(CalendrierAnnée,2,29))&lt;&gt;2</formula>
    </cfRule>
  </conditionalFormatting>
  <conditionalFormatting sqref="B5:AF10">
    <cfRule type="expression" priority="1" stopIfTrue="1">
      <formula>B5=""</formula>
    </cfRule>
  </conditionalFormatting>
  <conditionalFormatting sqref="B5:AF10">
    <cfRule type="expression" dxfId="758" priority="2" stopIfTrue="1">
      <formula>B5=CléPersonnalisée2</formula>
    </cfRule>
    <cfRule type="expression" dxfId="757" priority="3" stopIfTrue="1">
      <formula>B5=CléPersonnalisée1</formula>
    </cfRule>
    <cfRule type="expression" dxfId="756" priority="4" stopIfTrue="1">
      <formula>B5=CléMaladie</formula>
    </cfRule>
    <cfRule type="expression" dxfId="755" priority="5" stopIfTrue="1">
      <formula>B5=CléPersonnelle</formula>
    </cfRule>
    <cfRule type="expression" dxfId="754" priority="6" stopIfTrue="1">
      <formula>B5=CléCongés</formula>
    </cfRule>
  </conditionalFormatting>
  <conditionalFormatting sqref="AG5:AG10">
    <cfRule type="dataBar" priority="19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{94738C71-AB78-40C3-A818-D083AE35CC38}</x14:id>
        </ext>
      </extLst>
    </cfRule>
  </conditionalFormatting>
  <pageMargins left="0.25" right="0.25" top="0.75" bottom="0.75" header="0.3" footer="0.3"/>
  <pageSetup paperSize="8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738C71-AB78-40C3-A818-D083AE35CC38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H25"/>
  <sheetViews>
    <sheetView showGridLines="0" tabSelected="1" workbookViewId="0">
      <selection activeCell="V22" sqref="V22"/>
    </sheetView>
  </sheetViews>
  <sheetFormatPr baseColWidth="10" defaultColWidth="9.109375" defaultRowHeight="15" customHeight="1" x14ac:dyDescent="0.25"/>
  <cols>
    <col min="1" max="1" width="24.33203125" style="15" customWidth="1"/>
    <col min="2" max="32" width="4" style="13" customWidth="1"/>
    <col min="33" max="33" width="20.44140625" style="12" customWidth="1"/>
    <col min="34" max="34" width="9.109375" style="13"/>
    <col min="35" max="16384" width="9.109375" style="14"/>
  </cols>
  <sheetData>
    <row r="1" spans="1:34" s="1" customFormat="1" ht="50.25" customHeight="1" x14ac:dyDescent="0.3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6" t="s">
        <v>39</v>
      </c>
      <c r="B2" s="64" t="s">
        <v>64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9">
        <f>CalendrierAnnée</f>
        <v>2023</v>
      </c>
    </row>
    <row r="3" spans="1:34" ht="15.75" customHeight="1" x14ac:dyDescent="0.25">
      <c r="A3" s="66"/>
      <c r="B3" s="25" t="str">
        <f>TEXT(WEEKDAY(DATE(CalendrierAnnée,3,1),1),"jjj")</f>
        <v>mer</v>
      </c>
      <c r="C3" s="26" t="str">
        <f>TEXT(WEEKDAY(DATE(CalendrierAnnée,3,2),1),"jjj")</f>
        <v>jeu</v>
      </c>
      <c r="D3" s="26" t="str">
        <f>TEXT(WEEKDAY(DATE(CalendrierAnnée,3,3),1),"jjj")</f>
        <v>ven</v>
      </c>
      <c r="E3" s="26" t="str">
        <f>TEXT(WEEKDAY(DATE(CalendrierAnnée,3,4),1),"jjj")</f>
        <v>sam</v>
      </c>
      <c r="F3" s="26" t="str">
        <f>TEXT(WEEKDAY(DATE(CalendrierAnnée,3,5),1),"jjj")</f>
        <v>dim</v>
      </c>
      <c r="G3" s="26" t="str">
        <f>TEXT(WEEKDAY(DATE(CalendrierAnnée,3,6),1),"jjj")</f>
        <v>lun</v>
      </c>
      <c r="H3" s="26" t="str">
        <f>TEXT(WEEKDAY(DATE(CalendrierAnnée,3,7),1),"jjj")</f>
        <v>mar</v>
      </c>
      <c r="I3" s="26" t="str">
        <f>TEXT(WEEKDAY(DATE(CalendrierAnnée,3,8),1),"jjj")</f>
        <v>mer</v>
      </c>
      <c r="J3" s="26" t="str">
        <f>TEXT(WEEKDAY(DATE(CalendrierAnnée,3,9),1),"jjj")</f>
        <v>jeu</v>
      </c>
      <c r="K3" s="26" t="str">
        <f>TEXT(WEEKDAY(DATE(CalendrierAnnée,3,10),1),"jjj")</f>
        <v>ven</v>
      </c>
      <c r="L3" s="26" t="str">
        <f>TEXT(WEEKDAY(DATE(CalendrierAnnée,3,11),1),"jjj")</f>
        <v>sam</v>
      </c>
      <c r="M3" s="26" t="str">
        <f>TEXT(WEEKDAY(DATE(CalendrierAnnée,3,12),1),"jjj")</f>
        <v>dim</v>
      </c>
      <c r="N3" s="26" t="str">
        <f>TEXT(WEEKDAY(DATE(CalendrierAnnée,3,13),1),"jjj")</f>
        <v>lun</v>
      </c>
      <c r="O3" s="26" t="str">
        <f>TEXT(WEEKDAY(DATE(CalendrierAnnée,3,14),1),"jjj")</f>
        <v>mar</v>
      </c>
      <c r="P3" s="26" t="str">
        <f>TEXT(WEEKDAY(DATE(CalendrierAnnée,3,15),1),"jjj")</f>
        <v>mer</v>
      </c>
      <c r="Q3" s="26" t="str">
        <f>TEXT(WEEKDAY(DATE(CalendrierAnnée,3,16),1),"jjj")</f>
        <v>jeu</v>
      </c>
      <c r="R3" s="26" t="str">
        <f>TEXT(WEEKDAY(DATE(CalendrierAnnée,3,17),1),"jjj")</f>
        <v>ven</v>
      </c>
      <c r="S3" s="26" t="str">
        <f>TEXT(WEEKDAY(DATE(CalendrierAnnée,3,18),1),"jjj")</f>
        <v>sam</v>
      </c>
      <c r="T3" s="26" t="str">
        <f>TEXT(WEEKDAY(DATE(CalendrierAnnée,3,19),1),"jjj")</f>
        <v>dim</v>
      </c>
      <c r="U3" s="26" t="str">
        <f>TEXT(WEEKDAY(DATE(CalendrierAnnée,3,20),1),"jjj")</f>
        <v>lun</v>
      </c>
      <c r="V3" s="26" t="str">
        <f>TEXT(WEEKDAY(DATE(CalendrierAnnée,3,21),1),"jjj")</f>
        <v>mar</v>
      </c>
      <c r="W3" s="26" t="str">
        <f>TEXT(WEEKDAY(DATE(CalendrierAnnée,3,22),1),"jjj")</f>
        <v>mer</v>
      </c>
      <c r="X3" s="26" t="str">
        <f>TEXT(WEEKDAY(DATE(CalendrierAnnée,3,23),1),"jjj")</f>
        <v>jeu</v>
      </c>
      <c r="Y3" s="26" t="str">
        <f>TEXT(WEEKDAY(DATE(CalendrierAnnée,3,24),1),"jjj")</f>
        <v>ven</v>
      </c>
      <c r="Z3" s="26" t="str">
        <f>TEXT(WEEKDAY(DATE(CalendrierAnnée,3,25),1),"jjj")</f>
        <v>sam</v>
      </c>
      <c r="AA3" s="26" t="str">
        <f>TEXT(WEEKDAY(DATE(CalendrierAnnée,3,26),1),"jjj")</f>
        <v>dim</v>
      </c>
      <c r="AB3" s="26" t="str">
        <f>TEXT(WEEKDAY(DATE(CalendrierAnnée,3,27),1),"jjj")</f>
        <v>lun</v>
      </c>
      <c r="AC3" s="26" t="str">
        <f>TEXT(WEEKDAY(DATE(CalendrierAnnée,3,28),1),"jjj")</f>
        <v>mar</v>
      </c>
      <c r="AD3" s="26" t="str">
        <f>TEXT(WEEKDAY(DATE(CalendrierAnnée,3,29),1),"jjj")</f>
        <v>mer</v>
      </c>
      <c r="AE3" s="26" t="str">
        <f>TEXT(WEEKDAY(DATE(CalendrierAnnée,3,30),1),"jjj")</f>
        <v>jeu</v>
      </c>
      <c r="AF3" s="26" t="str">
        <f>TEXT(WEEKDAY(DATE(CalendrierAnnée,3,31),1),"jjj")</f>
        <v>ven</v>
      </c>
      <c r="AG3" s="69"/>
    </row>
    <row r="4" spans="1:34" s="1" customFormat="1" ht="14.4" x14ac:dyDescent="0.3">
      <c r="A4" s="34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ht="14.4" x14ac:dyDescent="0.3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 t="s">
        <v>62</v>
      </c>
      <c r="S5" s="7" t="s">
        <v>62</v>
      </c>
      <c r="T5" s="7" t="s">
        <v>62</v>
      </c>
      <c r="U5" s="7" t="s">
        <v>32</v>
      </c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COUNTA(tblMars[[#This Row],[1]:[29]])</f>
        <v>4</v>
      </c>
      <c r="AH5" s="2"/>
    </row>
    <row r="6" spans="1:34" s="1" customFormat="1" ht="14.4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 t="s">
        <v>62</v>
      </c>
      <c r="O6" s="7" t="s">
        <v>62</v>
      </c>
      <c r="P6" s="7" t="s">
        <v>62</v>
      </c>
      <c r="Q6" s="7" t="s">
        <v>62</v>
      </c>
      <c r="R6" s="7" t="s">
        <v>62</v>
      </c>
      <c r="S6" s="7" t="s">
        <v>62</v>
      </c>
      <c r="T6" s="7" t="s">
        <v>62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COUNTA(tblMars[[#This Row],[1]:[29]])</f>
        <v>7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 t="s">
        <v>62</v>
      </c>
      <c r="O7" s="7" t="s">
        <v>62</v>
      </c>
      <c r="P7" s="7" t="s">
        <v>62</v>
      </c>
      <c r="Q7" s="7" t="s">
        <v>62</v>
      </c>
      <c r="R7" s="7" t="s">
        <v>62</v>
      </c>
      <c r="S7" s="7" t="s">
        <v>62</v>
      </c>
      <c r="T7" s="7" t="s">
        <v>62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COUNTA(tblMars[[#This Row],[1]:[29]])</f>
        <v>7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62</v>
      </c>
      <c r="S8" s="7" t="s">
        <v>62</v>
      </c>
      <c r="T8" s="7" t="s">
        <v>62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COUNTA(tblMars[[#This Row],[1]:[29]])</f>
        <v>3</v>
      </c>
    </row>
    <row r="9" spans="1:34" s="13" customFormat="1" ht="15" customHeight="1" x14ac:dyDescent="0.25">
      <c r="A9" s="43" t="s">
        <v>53</v>
      </c>
      <c r="B9" s="7" t="s">
        <v>62</v>
      </c>
      <c r="C9" s="7" t="s">
        <v>62</v>
      </c>
      <c r="D9" s="7" t="s">
        <v>62</v>
      </c>
      <c r="E9" s="7" t="s">
        <v>62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62</v>
      </c>
      <c r="R9" s="7" t="s">
        <v>62</v>
      </c>
      <c r="S9" s="7" t="s">
        <v>62</v>
      </c>
      <c r="T9" s="7" t="s">
        <v>62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COUNTA(tblMars[[#This Row],[1]:[29]])</f>
        <v>8</v>
      </c>
    </row>
    <row r="10" spans="1:34" s="13" customFormat="1" ht="15" customHeight="1" x14ac:dyDescent="0.25">
      <c r="A10" s="44" t="s">
        <v>60</v>
      </c>
      <c r="B10" s="47"/>
      <c r="C10" s="47"/>
      <c r="D10" s="47"/>
      <c r="E10" s="48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8"/>
      <c r="T10" s="47"/>
      <c r="U10" s="47"/>
      <c r="V10" s="47"/>
      <c r="W10" s="47"/>
      <c r="X10" s="47"/>
      <c r="Y10" s="7"/>
      <c r="Z10" s="47"/>
      <c r="AA10" s="47"/>
      <c r="AB10" s="47"/>
      <c r="AC10" s="47"/>
      <c r="AD10" s="47"/>
      <c r="AE10" s="47"/>
      <c r="AF10" s="47"/>
      <c r="AG10" s="11">
        <f>COUNTA(tblMars[[#This Row],[1]:[29]])</f>
        <v>0</v>
      </c>
    </row>
    <row r="11" spans="1:34" ht="1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4" spans="1:34" ht="15" customHeight="1" x14ac:dyDescent="0.25">
      <c r="L14" s="12"/>
      <c r="N14" s="14"/>
      <c r="O14" s="14"/>
      <c r="P14" s="14"/>
      <c r="Q14" s="14"/>
      <c r="R14" s="14"/>
      <c r="S14" s="58"/>
      <c r="T14" s="58"/>
      <c r="U14" s="52" t="s">
        <v>66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54" t="s">
        <v>68</v>
      </c>
      <c r="O15" s="49"/>
      <c r="P15" s="49"/>
      <c r="Q15" s="49"/>
      <c r="R15" s="49"/>
      <c r="S15" s="49"/>
      <c r="T15" s="49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3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0"/>
      <c r="O16" s="50"/>
      <c r="P16" s="50"/>
      <c r="Q16" s="50"/>
      <c r="R16" s="50"/>
      <c r="S16" s="58"/>
      <c r="T16" s="58"/>
      <c r="U16" s="58"/>
      <c r="V16" s="58"/>
      <c r="W16" s="58"/>
      <c r="X16" s="58"/>
      <c r="Y16" s="58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3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 t="s">
        <v>70</v>
      </c>
      <c r="T17" s="58"/>
      <c r="U17" s="58"/>
      <c r="V17" s="58"/>
      <c r="W17" s="58"/>
      <c r="X17" s="58"/>
      <c r="Y17" s="58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3"/>
      <c r="B18" s="52" t="s">
        <v>69</v>
      </c>
      <c r="C18" s="52"/>
      <c r="D18" s="52"/>
      <c r="E18" s="52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2" t="s">
        <v>73</v>
      </c>
      <c r="R18" s="50"/>
      <c r="S18" s="50"/>
      <c r="T18" s="50"/>
      <c r="U18" s="58"/>
      <c r="V18" s="58"/>
      <c r="W18" s="58"/>
      <c r="X18" s="58"/>
      <c r="Y18" s="58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A19" s="13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5" customHeight="1" x14ac:dyDescent="0.25">
      <c r="A20" s="13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5" customHeight="1" x14ac:dyDescent="0.25">
      <c r="A21" s="13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5" customHeight="1" x14ac:dyDescent="0.25">
      <c r="A22" s="13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15" customHeight="1" x14ac:dyDescent="0.25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</row>
    <row r="24" spans="1:34" ht="15" customHeight="1" x14ac:dyDescent="0.25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</row>
    <row r="25" spans="1:34" ht="15" customHeight="1" x14ac:dyDescent="0.2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</conditionalFormatting>
  <conditionalFormatting sqref="B5:AF10">
    <cfRule type="expression" dxfId="689" priority="2" stopIfTrue="1">
      <formula>B5=CléPersonnalisée2</formula>
    </cfRule>
    <cfRule type="expression" dxfId="688" priority="3" stopIfTrue="1">
      <formula>B5=CléPersonnalisée1</formula>
    </cfRule>
    <cfRule type="expression" dxfId="687" priority="4" stopIfTrue="1">
      <formula>B5=CléMaladie</formula>
    </cfRule>
    <cfRule type="expression" dxfId="686" priority="5" stopIfTrue="1">
      <formula>B5=CléPersonnelle</formula>
    </cfRule>
    <cfRule type="expression" dxfId="685" priority="6" stopIfTrue="1">
      <formula>B5=CléCongés</formula>
    </cfRule>
  </conditionalFormatting>
  <conditionalFormatting sqref="AG5:AG10">
    <cfRule type="dataBar" priority="21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{6E72CF57-6FDE-4024-BC4C-B2350417DE61}</x14:id>
        </ext>
      </extLst>
    </cfRule>
  </conditionalFormatting>
  <pageMargins left="0.25" right="0.25" top="0.75" bottom="0.75" header="0.3" footer="0.3"/>
  <pageSetup scale="77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72CF57-6FDE-4024-BC4C-B2350417DE61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H22"/>
  <sheetViews>
    <sheetView showGridLines="0" workbookViewId="0">
      <selection activeCell="AB24" sqref="AB24"/>
    </sheetView>
  </sheetViews>
  <sheetFormatPr baseColWidth="10" defaultColWidth="9.109375" defaultRowHeight="15" customHeight="1" x14ac:dyDescent="0.25"/>
  <cols>
    <col min="1" max="1" width="24.33203125" style="15" customWidth="1"/>
    <col min="2" max="32" width="4" style="13" customWidth="1"/>
    <col min="33" max="33" width="20.44140625" style="12" customWidth="1"/>
    <col min="34" max="34" width="9.109375" style="13"/>
    <col min="35" max="16384" width="9.109375" style="14"/>
  </cols>
  <sheetData>
    <row r="1" spans="1:34" s="1" customFormat="1" ht="50.25" customHeight="1" x14ac:dyDescent="0.3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6" t="s">
        <v>40</v>
      </c>
      <c r="B2" s="64" t="s">
        <v>64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9">
        <f>CalendrierAnnée</f>
        <v>2023</v>
      </c>
    </row>
    <row r="3" spans="1:34" ht="15.75" customHeight="1" x14ac:dyDescent="0.25">
      <c r="A3" s="66"/>
      <c r="B3" s="25" t="str">
        <f>TEXT(WEEKDAY(DATE(CalendrierAnnée,4,1),1),"jjj")</f>
        <v>sam</v>
      </c>
      <c r="C3" s="26" t="str">
        <f>TEXT(WEEKDAY(DATE(CalendrierAnnée,4,2),1),"jjj")</f>
        <v>dim</v>
      </c>
      <c r="D3" s="26" t="str">
        <f>TEXT(WEEKDAY(DATE(CalendrierAnnée,4,3),1),"jjj")</f>
        <v>lun</v>
      </c>
      <c r="E3" s="26" t="str">
        <f>TEXT(WEEKDAY(DATE(CalendrierAnnée,4,4),1),"jjj")</f>
        <v>mar</v>
      </c>
      <c r="F3" s="26" t="str">
        <f>TEXT(WEEKDAY(DATE(CalendrierAnnée,4,5),1),"jjj")</f>
        <v>mer</v>
      </c>
      <c r="G3" s="26" t="str">
        <f>TEXT(WEEKDAY(DATE(CalendrierAnnée,4,6),1),"jjj")</f>
        <v>jeu</v>
      </c>
      <c r="H3" s="26" t="str">
        <f>TEXT(WEEKDAY(DATE(CalendrierAnnée,4,7),1),"jjj")</f>
        <v>ven</v>
      </c>
      <c r="I3" s="26" t="str">
        <f>TEXT(WEEKDAY(DATE(CalendrierAnnée,4,8),1),"jjj")</f>
        <v>sam</v>
      </c>
      <c r="J3" s="26" t="str">
        <f>TEXT(WEEKDAY(DATE(CalendrierAnnée,4,9),1),"jjj")</f>
        <v>dim</v>
      </c>
      <c r="K3" s="26" t="str">
        <f>TEXT(WEEKDAY(DATE(CalendrierAnnée,4,10),1),"jjj")</f>
        <v>lun</v>
      </c>
      <c r="L3" s="26" t="str">
        <f>TEXT(WEEKDAY(DATE(CalendrierAnnée,4,11),1),"jjj")</f>
        <v>mar</v>
      </c>
      <c r="M3" s="26" t="str">
        <f>TEXT(WEEKDAY(DATE(CalendrierAnnée,4,12),1),"jjj")</f>
        <v>mer</v>
      </c>
      <c r="N3" s="26" t="str">
        <f>TEXT(WEEKDAY(DATE(CalendrierAnnée,4,13),1),"jjj")</f>
        <v>jeu</v>
      </c>
      <c r="O3" s="26" t="str">
        <f>TEXT(WEEKDAY(DATE(CalendrierAnnée,4,14),1),"jjj")</f>
        <v>ven</v>
      </c>
      <c r="P3" s="26" t="str">
        <f>TEXT(WEEKDAY(DATE(CalendrierAnnée,4,15),1),"jjj")</f>
        <v>sam</v>
      </c>
      <c r="Q3" s="26" t="str">
        <f>TEXT(WEEKDAY(DATE(CalendrierAnnée,4,16),1),"jjj")</f>
        <v>dim</v>
      </c>
      <c r="R3" s="26" t="str">
        <f>TEXT(WEEKDAY(DATE(CalendrierAnnée,4,17),1),"jjj")</f>
        <v>lun</v>
      </c>
      <c r="S3" s="26" t="str">
        <f>TEXT(WEEKDAY(DATE(CalendrierAnnée,4,18),1),"jjj")</f>
        <v>mar</v>
      </c>
      <c r="T3" s="26" t="str">
        <f>TEXT(WEEKDAY(DATE(CalendrierAnnée,4,19),1),"jjj")</f>
        <v>mer</v>
      </c>
      <c r="U3" s="26" t="str">
        <f>TEXT(WEEKDAY(DATE(CalendrierAnnée,4,20),1),"jjj")</f>
        <v>jeu</v>
      </c>
      <c r="V3" s="26" t="str">
        <f>TEXT(WEEKDAY(DATE(CalendrierAnnée,4,21),1),"jjj")</f>
        <v>ven</v>
      </c>
      <c r="W3" s="26" t="str">
        <f>TEXT(WEEKDAY(DATE(CalendrierAnnée,4,22),1),"jjj")</f>
        <v>sam</v>
      </c>
      <c r="X3" s="26" t="str">
        <f>TEXT(WEEKDAY(DATE(CalendrierAnnée,4,23),1),"jjj")</f>
        <v>dim</v>
      </c>
      <c r="Y3" s="26" t="str">
        <f>TEXT(WEEKDAY(DATE(CalendrierAnnée,4,24),1),"jjj")</f>
        <v>lun</v>
      </c>
      <c r="Z3" s="26" t="str">
        <f>TEXT(WEEKDAY(DATE(CalendrierAnnée,4,25),1),"jjj")</f>
        <v>mar</v>
      </c>
      <c r="AA3" s="26" t="str">
        <f>TEXT(WEEKDAY(DATE(CalendrierAnnée,4,26),1),"jjj")</f>
        <v>mer</v>
      </c>
      <c r="AB3" s="26" t="str">
        <f>TEXT(WEEKDAY(DATE(CalendrierAnnée,4,27),1),"jjj")</f>
        <v>jeu</v>
      </c>
      <c r="AC3" s="26" t="str">
        <f>TEXT(WEEKDAY(DATE(CalendrierAnnée,4,28),1),"jjj")</f>
        <v>ven</v>
      </c>
      <c r="AD3" s="26" t="str">
        <f>TEXT(WEEKDAY(DATE(CalendrierAnnée,4,29),1),"jjj")</f>
        <v>sam</v>
      </c>
      <c r="AE3" s="26" t="str">
        <f>TEXT(WEEKDAY(DATE(CalendrierAnnée,4,30),1),"jjj")</f>
        <v>dim</v>
      </c>
      <c r="AF3" s="26"/>
      <c r="AG3" s="69"/>
    </row>
    <row r="4" spans="1:34" s="1" customFormat="1" ht="14.4" x14ac:dyDescent="0.3">
      <c r="A4" s="34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62</v>
      </c>
      <c r="AE4" s="7" t="s">
        <v>29</v>
      </c>
      <c r="AF4" s="7" t="s">
        <v>33</v>
      </c>
      <c r="AG4" s="7" t="s">
        <v>31</v>
      </c>
      <c r="AH4" s="2"/>
    </row>
    <row r="5" spans="1:34" s="1" customFormat="1" ht="14.4" x14ac:dyDescent="0.3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 t="s">
        <v>62</v>
      </c>
      <c r="AD5" s="7" t="s">
        <v>62</v>
      </c>
      <c r="AE5" s="7"/>
      <c r="AF5" s="7"/>
      <c r="AG5" s="11">
        <f>COUNTA(tblAvril[[#This Row],[1]:[J]])</f>
        <v>2</v>
      </c>
      <c r="AH5" s="2"/>
    </row>
    <row r="6" spans="1:34" s="1" customFormat="1" ht="14.4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 t="s">
        <v>62</v>
      </c>
      <c r="Z6" s="7" t="s">
        <v>62</v>
      </c>
      <c r="AA6" s="7" t="s">
        <v>62</v>
      </c>
      <c r="AB6" s="7" t="s">
        <v>62</v>
      </c>
      <c r="AC6" s="7" t="s">
        <v>62</v>
      </c>
      <c r="AD6" s="7" t="s">
        <v>62</v>
      </c>
      <c r="AE6" s="7"/>
      <c r="AF6" s="7"/>
      <c r="AG6" s="11">
        <f>COUNTA(tblAvril[[#This Row],[1]:[J]])</f>
        <v>6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62</v>
      </c>
      <c r="Z7" s="7" t="s">
        <v>62</v>
      </c>
      <c r="AA7" s="7" t="s">
        <v>62</v>
      </c>
      <c r="AB7" s="7" t="s">
        <v>62</v>
      </c>
      <c r="AC7" s="7" t="s">
        <v>62</v>
      </c>
      <c r="AD7" s="7" t="s">
        <v>62</v>
      </c>
      <c r="AE7" s="7"/>
      <c r="AF7" s="7"/>
      <c r="AG7" s="11">
        <f>COUNTA(tblAvril[[#This Row],[1]:[J]])</f>
        <v>6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 t="s">
        <v>62</v>
      </c>
      <c r="AD8" s="7" t="s">
        <v>62</v>
      </c>
      <c r="AE8" s="7"/>
      <c r="AF8" s="7"/>
      <c r="AG8" s="11">
        <f>COUNTA(tblAvril[[#This Row],[1]:[J]])</f>
        <v>2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 t="s">
        <v>62</v>
      </c>
      <c r="AD9" s="7" t="s">
        <v>62</v>
      </c>
      <c r="AE9" s="7"/>
      <c r="AF9" s="7"/>
      <c r="AG9" s="11">
        <f>COUNTA(tblAvril[[#This Row],[1]:[J]])</f>
        <v>2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 t="s">
        <v>62</v>
      </c>
      <c r="AD10" s="41" t="s">
        <v>62</v>
      </c>
      <c r="AE10" s="41"/>
      <c r="AF10" s="41"/>
      <c r="AG10" s="11">
        <f>COUNTA(tblAvril[[#This Row],[1]:[J]])</f>
        <v>2</v>
      </c>
    </row>
    <row r="11" spans="1:34" ht="1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3" spans="1:34" ht="15" customHeight="1" x14ac:dyDescent="0.25">
      <c r="AB13" s="12"/>
      <c r="AC13" s="53"/>
      <c r="AD13" s="49"/>
      <c r="AE13" s="58"/>
      <c r="AF13" s="58"/>
      <c r="AG13" s="58"/>
      <c r="AH13" s="14"/>
    </row>
    <row r="14" spans="1:34" ht="15" customHeight="1" x14ac:dyDescent="0.25">
      <c r="C14" s="59"/>
      <c r="D14" s="59"/>
      <c r="E14" s="59"/>
      <c r="F14" s="59"/>
      <c r="G14" s="59"/>
      <c r="H14" s="59"/>
      <c r="I14" s="59"/>
      <c r="J14" s="6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58"/>
      <c r="AD14" s="58"/>
      <c r="AE14" s="58"/>
      <c r="AF14" s="58"/>
      <c r="AG14" s="58"/>
      <c r="AH14" s="14"/>
    </row>
    <row r="15" spans="1:34" ht="15" customHeight="1" x14ac:dyDescent="0.25">
      <c r="C15" s="59"/>
      <c r="D15" s="59"/>
      <c r="E15" s="59"/>
      <c r="F15" s="59"/>
      <c r="G15" s="59"/>
      <c r="H15" s="59"/>
      <c r="I15" s="59"/>
      <c r="J15" s="61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55" t="s">
        <v>68</v>
      </c>
      <c r="Z15" s="49"/>
      <c r="AA15" s="49"/>
      <c r="AB15" s="49"/>
      <c r="AC15" s="49"/>
      <c r="AD15" s="58"/>
      <c r="AE15" s="58"/>
      <c r="AF15" s="58"/>
      <c r="AG15" s="58"/>
      <c r="AH15" s="14"/>
    </row>
    <row r="16" spans="1:34" ht="15" customHeight="1" x14ac:dyDescent="0.25">
      <c r="C16" s="59"/>
      <c r="D16" s="59"/>
      <c r="E16" s="59"/>
      <c r="F16" s="59"/>
      <c r="G16" s="59"/>
      <c r="H16" s="59"/>
      <c r="I16" s="59"/>
      <c r="J16" s="6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50"/>
      <c r="Z16" s="50"/>
      <c r="AA16" s="50"/>
      <c r="AB16" s="50"/>
      <c r="AC16" s="50"/>
      <c r="AD16" s="58"/>
      <c r="AE16" s="58"/>
      <c r="AF16" s="58"/>
      <c r="AG16" s="58"/>
      <c r="AH16" s="14"/>
    </row>
    <row r="17" spans="3:34" ht="15" customHeight="1" x14ac:dyDescent="0.25">
      <c r="C17" s="59"/>
      <c r="D17" s="59"/>
      <c r="E17" s="59"/>
      <c r="F17" s="60"/>
      <c r="G17" s="59"/>
      <c r="H17" s="59"/>
      <c r="I17" s="59"/>
      <c r="J17" s="61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58"/>
      <c r="AD17" s="58"/>
      <c r="AE17" s="58"/>
      <c r="AF17" s="58"/>
      <c r="AG17" s="58"/>
      <c r="AH17" s="14"/>
    </row>
    <row r="18" spans="3:34" ht="15" customHeight="1" x14ac:dyDescent="0.25">
      <c r="C18" s="59"/>
      <c r="D18" s="59"/>
      <c r="E18" s="59"/>
      <c r="F18" s="59"/>
      <c r="G18" s="59"/>
      <c r="H18" s="59"/>
      <c r="I18" s="59"/>
      <c r="J18" s="61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58" t="s">
        <v>71</v>
      </c>
      <c r="AD18" s="58"/>
      <c r="AE18" s="58"/>
      <c r="AF18" s="58"/>
      <c r="AG18" s="58"/>
      <c r="AH18" s="14"/>
    </row>
    <row r="19" spans="3:34" ht="15" customHeight="1" x14ac:dyDescent="0.25">
      <c r="C19" s="59"/>
      <c r="D19" s="59"/>
      <c r="E19" s="59"/>
      <c r="F19" s="59"/>
      <c r="G19" s="59"/>
      <c r="H19" s="59"/>
      <c r="I19" s="59"/>
      <c r="J19" s="61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58"/>
      <c r="AD19" s="58"/>
      <c r="AE19" s="58"/>
      <c r="AF19" s="58"/>
      <c r="AG19" s="58"/>
      <c r="AH19" s="14"/>
    </row>
    <row r="20" spans="3:34" ht="15" customHeight="1" x14ac:dyDescent="0.25">
      <c r="AB20" s="12"/>
      <c r="AC20" s="51"/>
      <c r="AD20" s="50"/>
      <c r="AE20" s="58"/>
      <c r="AF20" s="58"/>
      <c r="AG20" s="58"/>
      <c r="AH20" s="14"/>
    </row>
    <row r="21" spans="3:34" ht="15" customHeight="1" x14ac:dyDescent="0.25">
      <c r="AB21" s="12"/>
      <c r="AC21" s="59"/>
      <c r="AD21" s="58"/>
      <c r="AE21" s="58"/>
      <c r="AF21" s="58"/>
      <c r="AG21" s="58"/>
      <c r="AH21" s="14"/>
    </row>
    <row r="22" spans="3:34" ht="15" customHeight="1" x14ac:dyDescent="0.25">
      <c r="AC22" s="59"/>
      <c r="AD22" s="59"/>
      <c r="AE22" s="59"/>
      <c r="AF22" s="61"/>
      <c r="AG22" s="59"/>
      <c r="AH22" s="14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</conditionalFormatting>
  <conditionalFormatting sqref="B5:AF10">
    <cfRule type="expression" dxfId="620" priority="2" stopIfTrue="1">
      <formula>B5=CléPersonnalisée2</formula>
    </cfRule>
    <cfRule type="expression" dxfId="619" priority="3" stopIfTrue="1">
      <formula>B5=CléPersonnalisée1</formula>
    </cfRule>
    <cfRule type="expression" dxfId="618" priority="4" stopIfTrue="1">
      <formula>B5=CléMaladie</formula>
    </cfRule>
    <cfRule type="expression" dxfId="617" priority="5" stopIfTrue="1">
      <formula>B5=CléPersonnelle</formula>
    </cfRule>
    <cfRule type="expression" dxfId="616" priority="6" stopIfTrue="1">
      <formula>B5=CléCongés</formula>
    </cfRule>
  </conditionalFormatting>
  <conditionalFormatting sqref="AG5:AG10">
    <cfRule type="dataBar" priority="22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{9F84199F-9F40-4560-9610-01EAA5EACF75}</x14:id>
        </ext>
      </extLst>
    </cfRule>
  </conditionalFormatting>
  <pageMargins left="0.25" right="0.25" top="0.75" bottom="0.75" header="0.3" footer="0.3"/>
  <pageSetup scale="77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84199F-9F40-4560-9610-01EAA5EACF75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H22"/>
  <sheetViews>
    <sheetView showGridLines="0" workbookViewId="0">
      <selection activeCell="AD25" sqref="AD25"/>
    </sheetView>
  </sheetViews>
  <sheetFormatPr baseColWidth="10" defaultColWidth="9.109375" defaultRowHeight="15" customHeight="1" x14ac:dyDescent="0.25"/>
  <cols>
    <col min="1" max="1" width="24.33203125" style="15" customWidth="1"/>
    <col min="2" max="32" width="4" style="13" customWidth="1"/>
    <col min="33" max="33" width="20.44140625" style="12" customWidth="1"/>
    <col min="34" max="34" width="9.109375" style="13"/>
    <col min="35" max="16384" width="9.109375" style="14"/>
  </cols>
  <sheetData>
    <row r="1" spans="1:34" s="1" customFormat="1" ht="50.25" customHeight="1" x14ac:dyDescent="0.3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6" t="s">
        <v>41</v>
      </c>
      <c r="B2" s="64" t="s">
        <v>64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9">
        <f>CalendrierAnnée</f>
        <v>2023</v>
      </c>
    </row>
    <row r="3" spans="1:34" ht="15.75" customHeight="1" x14ac:dyDescent="0.25">
      <c r="A3" s="66"/>
      <c r="B3" s="25" t="str">
        <f>TEXT(WEEKDAY(DATE(CalendrierAnnée,5,1),1),"jjj")</f>
        <v>lun</v>
      </c>
      <c r="C3" s="26" t="str">
        <f>TEXT(WEEKDAY(DATE(CalendrierAnnée,5,2),1),"jjj")</f>
        <v>mar</v>
      </c>
      <c r="D3" s="26" t="str">
        <f>TEXT(WEEKDAY(DATE(CalendrierAnnée,5,3),1),"jjj")</f>
        <v>mer</v>
      </c>
      <c r="E3" s="26" t="str">
        <f>TEXT(WEEKDAY(DATE(CalendrierAnnée,5,4),1),"jjj")</f>
        <v>jeu</v>
      </c>
      <c r="F3" s="26" t="str">
        <f>TEXT(WEEKDAY(DATE(CalendrierAnnée,5,5),1),"jjj")</f>
        <v>ven</v>
      </c>
      <c r="G3" s="26" t="str">
        <f>TEXT(WEEKDAY(DATE(CalendrierAnnée,5,6),1),"jjj")</f>
        <v>sam</v>
      </c>
      <c r="H3" s="26" t="str">
        <f>TEXT(WEEKDAY(DATE(CalendrierAnnée,5,7),1),"jjj")</f>
        <v>dim</v>
      </c>
      <c r="I3" s="26" t="str">
        <f>TEXT(WEEKDAY(DATE(CalendrierAnnée,5,8),1),"jjj")</f>
        <v>lun</v>
      </c>
      <c r="J3" s="26" t="str">
        <f>TEXT(WEEKDAY(DATE(CalendrierAnnée,5,9),1),"jjj")</f>
        <v>mar</v>
      </c>
      <c r="K3" s="26" t="str">
        <f>TEXT(WEEKDAY(DATE(CalendrierAnnée,5,10),1),"jjj")</f>
        <v>mer</v>
      </c>
      <c r="L3" s="26" t="str">
        <f>TEXT(WEEKDAY(DATE(CalendrierAnnée,5,11),1),"jjj")</f>
        <v>jeu</v>
      </c>
      <c r="M3" s="26" t="str">
        <f>TEXT(WEEKDAY(DATE(CalendrierAnnée,5,12),1),"jjj")</f>
        <v>ven</v>
      </c>
      <c r="N3" s="26" t="str">
        <f>TEXT(WEEKDAY(DATE(CalendrierAnnée,5,13),1),"jjj")</f>
        <v>sam</v>
      </c>
      <c r="O3" s="26" t="str">
        <f>TEXT(WEEKDAY(DATE(CalendrierAnnée,5,14),1),"jjj")</f>
        <v>dim</v>
      </c>
      <c r="P3" s="26" t="str">
        <f>TEXT(WEEKDAY(DATE(CalendrierAnnée,5,15),1),"jjj")</f>
        <v>lun</v>
      </c>
      <c r="Q3" s="26" t="str">
        <f>TEXT(WEEKDAY(DATE(CalendrierAnnée,5,16),1),"jjj")</f>
        <v>mar</v>
      </c>
      <c r="R3" s="26" t="str">
        <f>TEXT(WEEKDAY(DATE(CalendrierAnnée,5,17),1),"jjj")</f>
        <v>mer</v>
      </c>
      <c r="S3" s="26" t="str">
        <f>TEXT(WEEKDAY(DATE(CalendrierAnnée,5,18),1),"jjj")</f>
        <v>jeu</v>
      </c>
      <c r="T3" s="26" t="str">
        <f>TEXT(WEEKDAY(DATE(CalendrierAnnée,5,19),1),"jjj")</f>
        <v>ven</v>
      </c>
      <c r="U3" s="26" t="str">
        <f>TEXT(WEEKDAY(DATE(CalendrierAnnée,5,20),1),"jjj")</f>
        <v>sam</v>
      </c>
      <c r="V3" s="26" t="str">
        <f>TEXT(WEEKDAY(DATE(CalendrierAnnée,5,21),1),"jjj")</f>
        <v>dim</v>
      </c>
      <c r="W3" s="26" t="str">
        <f>TEXT(WEEKDAY(DATE(CalendrierAnnée,5,22),1),"jjj")</f>
        <v>lun</v>
      </c>
      <c r="X3" s="26" t="str">
        <f>TEXT(WEEKDAY(DATE(CalendrierAnnée,5,23),1),"jjj")</f>
        <v>mar</v>
      </c>
      <c r="Y3" s="26" t="str">
        <f>TEXT(WEEKDAY(DATE(CalendrierAnnée,5,24),1),"jjj")</f>
        <v>mer</v>
      </c>
      <c r="Z3" s="26" t="str">
        <f>TEXT(WEEKDAY(DATE(CalendrierAnnée,5,25),1),"jjj")</f>
        <v>jeu</v>
      </c>
      <c r="AA3" s="26" t="str">
        <f>TEXT(WEEKDAY(DATE(CalendrierAnnée,5,26),1),"jjj")</f>
        <v>ven</v>
      </c>
      <c r="AB3" s="26" t="str">
        <f>TEXT(WEEKDAY(DATE(CalendrierAnnée,5,27),1),"jjj")</f>
        <v>sam</v>
      </c>
      <c r="AC3" s="26" t="str">
        <f>TEXT(WEEKDAY(DATE(CalendrierAnnée,5,28),1),"jjj")</f>
        <v>dim</v>
      </c>
      <c r="AD3" s="26" t="str">
        <f>TEXT(WEEKDAY(DATE(CalendrierAnnée,5,29),1),"jjj")</f>
        <v>lun</v>
      </c>
      <c r="AE3" s="26" t="str">
        <f>TEXT(WEEKDAY(DATE(CalendrierAnnée,5,30),1),"jjj")</f>
        <v>mar</v>
      </c>
      <c r="AF3" s="26" t="str">
        <f>TEXT(WEEKDAY(DATE(CalendrierAnnée,5,31),1),"jjj")</f>
        <v>mer</v>
      </c>
      <c r="AG3" s="69"/>
    </row>
    <row r="4" spans="1:34" s="1" customFormat="1" ht="14.4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ht="14.4" x14ac:dyDescent="0.3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COUNTA(tblMai[[#This Row],[1]:[29]])</f>
        <v>0</v>
      </c>
      <c r="AH5" s="2"/>
    </row>
    <row r="6" spans="1:34" s="1" customFormat="1" ht="14.4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 t="s">
        <v>62</v>
      </c>
      <c r="X6" s="7" t="s">
        <v>62</v>
      </c>
      <c r="Y6" s="7" t="s">
        <v>62</v>
      </c>
      <c r="Z6" s="7" t="s">
        <v>62</v>
      </c>
      <c r="AA6" s="7" t="s">
        <v>62</v>
      </c>
      <c r="AB6" s="7"/>
      <c r="AC6" s="7"/>
      <c r="AD6" s="7"/>
      <c r="AE6" s="7"/>
      <c r="AF6" s="7"/>
      <c r="AG6" s="11">
        <f>COUNTA(tblMai[[#This Row],[1]:[29]])</f>
        <v>5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 t="s">
        <v>62</v>
      </c>
      <c r="X7" s="7" t="s">
        <v>62</v>
      </c>
      <c r="Y7" s="7" t="s">
        <v>62</v>
      </c>
      <c r="Z7" s="7" t="s">
        <v>62</v>
      </c>
      <c r="AA7" s="7" t="s">
        <v>62</v>
      </c>
      <c r="AB7" s="7"/>
      <c r="AC7" s="7"/>
      <c r="AD7" s="7"/>
      <c r="AE7" s="7"/>
      <c r="AF7" s="7"/>
      <c r="AG7" s="11">
        <f>COUNTA(tblMai[[#This Row],[1]:[29]])</f>
        <v>5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COUNTA(tblMai[[#This Row],[1]:[29]])</f>
        <v>0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COUNTA(tblMai[[#This Row],[1]:[29]])</f>
        <v>0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COUNTA(tblMai[[#This Row],[1]:[29]])</f>
        <v>0</v>
      </c>
    </row>
    <row r="11" spans="1:34" ht="1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3" spans="1:34" ht="15" customHeight="1" x14ac:dyDescent="0.25">
      <c r="AD13" s="59"/>
      <c r="AE13" s="59"/>
      <c r="AF13" s="59"/>
      <c r="AG13" s="61"/>
    </row>
    <row r="14" spans="1:34" ht="15" customHeight="1" x14ac:dyDescent="0.25">
      <c r="H14" s="12"/>
      <c r="J14" s="14"/>
      <c r="K14" s="14"/>
      <c r="L14" s="14"/>
      <c r="M14" s="14"/>
      <c r="N14" s="14"/>
      <c r="O14" s="14"/>
      <c r="P14" s="58"/>
      <c r="Q14" s="58"/>
      <c r="R14" s="58"/>
      <c r="S14" s="58"/>
      <c r="T14" s="58"/>
      <c r="U14" s="58"/>
      <c r="V14" s="14"/>
      <c r="W14" s="14"/>
      <c r="X14" s="14"/>
      <c r="Y14" s="14"/>
      <c r="Z14" s="14"/>
      <c r="AA14" s="14"/>
      <c r="AB14" s="14"/>
      <c r="AC14" s="14"/>
      <c r="AD14" s="58"/>
      <c r="AE14" s="58"/>
      <c r="AF14" s="58"/>
      <c r="AG14" s="58"/>
      <c r="AH14" s="14"/>
    </row>
    <row r="15" spans="1:34" ht="15" customHeight="1" x14ac:dyDescent="0.25">
      <c r="H15" s="12"/>
      <c r="J15" s="14"/>
      <c r="K15" s="14"/>
      <c r="L15" s="14"/>
      <c r="M15" s="14"/>
      <c r="N15" s="14"/>
      <c r="O15" s="14"/>
      <c r="P15" s="58"/>
      <c r="Q15" s="58"/>
      <c r="R15" s="58"/>
      <c r="S15" s="58"/>
      <c r="T15" s="58"/>
      <c r="U15" s="58"/>
      <c r="V15" s="14"/>
      <c r="W15" s="49"/>
      <c r="X15" s="49"/>
      <c r="Y15" s="49"/>
      <c r="Z15" s="49"/>
      <c r="AA15" s="49"/>
      <c r="AB15" s="14"/>
      <c r="AC15" s="14"/>
      <c r="AD15" s="58"/>
      <c r="AE15" s="58"/>
      <c r="AF15" s="58"/>
      <c r="AG15" s="58"/>
      <c r="AH15" s="14"/>
    </row>
    <row r="16" spans="1:34" ht="15" customHeight="1" x14ac:dyDescent="0.25">
      <c r="H16" s="12"/>
      <c r="J16" s="14"/>
      <c r="K16" s="14"/>
      <c r="L16" s="14"/>
      <c r="M16" s="14"/>
      <c r="N16" s="14"/>
      <c r="O16" s="14"/>
      <c r="P16" s="58"/>
      <c r="Q16" s="59"/>
      <c r="R16" s="58"/>
      <c r="S16" s="58"/>
      <c r="T16" s="58"/>
      <c r="U16" s="58"/>
      <c r="V16" s="14"/>
      <c r="W16" s="50" t="s">
        <v>67</v>
      </c>
      <c r="X16" s="50"/>
      <c r="Y16" s="50"/>
      <c r="Z16" s="50"/>
      <c r="AA16" s="50"/>
      <c r="AB16" s="14"/>
      <c r="AC16" s="14"/>
      <c r="AD16" s="58"/>
      <c r="AE16" s="58"/>
      <c r="AF16" s="58"/>
      <c r="AG16" s="58"/>
      <c r="AH16" s="14"/>
    </row>
    <row r="17" spans="8:34" ht="15" customHeight="1" x14ac:dyDescent="0.25">
      <c r="H17" s="12"/>
      <c r="J17" s="14"/>
      <c r="K17" s="14"/>
      <c r="L17" s="14"/>
      <c r="M17" s="14"/>
      <c r="N17" s="14"/>
      <c r="O17" s="14"/>
      <c r="P17" s="58"/>
      <c r="Q17" s="58"/>
      <c r="R17" s="58"/>
      <c r="S17" s="58"/>
      <c r="T17" s="58"/>
      <c r="U17" s="58"/>
      <c r="V17" s="14"/>
      <c r="W17" s="14"/>
      <c r="X17" s="14"/>
      <c r="Y17" s="14"/>
      <c r="Z17" s="14"/>
      <c r="AA17" s="14"/>
      <c r="AB17" s="14"/>
      <c r="AC17" s="14"/>
      <c r="AD17" s="58"/>
      <c r="AE17" s="58"/>
      <c r="AF17" s="58"/>
      <c r="AG17" s="58"/>
      <c r="AH17" s="14"/>
    </row>
    <row r="18" spans="8:34" ht="15" customHeight="1" x14ac:dyDescent="0.25">
      <c r="H18" s="12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58"/>
      <c r="AE18" s="58"/>
      <c r="AF18" s="58"/>
      <c r="AG18" s="58"/>
      <c r="AH18" s="14"/>
    </row>
    <row r="19" spans="8:34" ht="15" customHeight="1" x14ac:dyDescent="0.25">
      <c r="H19" s="12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8:34" ht="15" customHeight="1" x14ac:dyDescent="0.25">
      <c r="X20" s="12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8:34" ht="15" customHeight="1" x14ac:dyDescent="0.25">
      <c r="X21" s="12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8:34" ht="15" customHeight="1" x14ac:dyDescent="0.25">
      <c r="X22" s="12"/>
      <c r="Z22" s="14"/>
      <c r="AA22" s="14"/>
      <c r="AB22" s="14"/>
      <c r="AC22" s="14"/>
      <c r="AD22" s="14"/>
      <c r="AE22" s="14"/>
      <c r="AF22" s="14"/>
      <c r="AG22" s="14"/>
      <c r="AH22" s="14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</conditionalFormatting>
  <conditionalFormatting sqref="B5:AF10">
    <cfRule type="expression" dxfId="551" priority="2" stopIfTrue="1">
      <formula>B5=CléPersonnalisée2</formula>
    </cfRule>
    <cfRule type="expression" dxfId="550" priority="3" stopIfTrue="1">
      <formula>B5=CléPersonnalisée1</formula>
    </cfRule>
    <cfRule type="expression" dxfId="549" priority="4" stopIfTrue="1">
      <formula>B5=CléMaladie</formula>
    </cfRule>
    <cfRule type="expression" dxfId="548" priority="5" stopIfTrue="1">
      <formula>B5=CléPersonnelle</formula>
    </cfRule>
    <cfRule type="expression" dxfId="547" priority="6" stopIfTrue="1">
      <formula>B5=CléCongés</formula>
    </cfRule>
  </conditionalFormatting>
  <conditionalFormatting sqref="AG5:AG10">
    <cfRule type="dataBar" priority="23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{21200745-4ED2-4331-A492-FDEB5AAF3195}</x14:id>
        </ext>
      </extLst>
    </cfRule>
  </conditionalFormatting>
  <pageMargins left="0.7" right="0.7" top="0.75" bottom="0.75" header="0.3" footer="0.3"/>
  <pageSetup paperSize="8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200745-4ED2-4331-A492-FDEB5AAF3195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AH22"/>
  <sheetViews>
    <sheetView showGridLines="0" workbookViewId="0">
      <selection activeCell="N20" sqref="N20:N21"/>
    </sheetView>
  </sheetViews>
  <sheetFormatPr baseColWidth="10" defaultColWidth="9.109375" defaultRowHeight="15" customHeight="1" x14ac:dyDescent="0.25"/>
  <cols>
    <col min="1" max="1" width="24.33203125" style="15" customWidth="1"/>
    <col min="2" max="32" width="4" style="13" customWidth="1"/>
    <col min="33" max="33" width="20.44140625" style="12" customWidth="1"/>
    <col min="34" max="34" width="9.109375" style="13"/>
    <col min="35" max="16384" width="9.109375" style="14"/>
  </cols>
  <sheetData>
    <row r="1" spans="1:34" s="1" customFormat="1" ht="50.25" customHeight="1" x14ac:dyDescent="0.3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6" t="s">
        <v>42</v>
      </c>
      <c r="B2" s="64" t="s">
        <v>64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9">
        <f>CalendrierAnnée</f>
        <v>2023</v>
      </c>
    </row>
    <row r="3" spans="1:34" ht="15.75" customHeight="1" x14ac:dyDescent="0.25">
      <c r="A3" s="66"/>
      <c r="B3" s="25" t="str">
        <f>TEXT(WEEKDAY(DATE(CalendrierAnnée,6,1),1),"jjj")</f>
        <v>jeu</v>
      </c>
      <c r="C3" s="26" t="str">
        <f>TEXT(WEEKDAY(DATE(CalendrierAnnée,6,2),1),"jjj")</f>
        <v>ven</v>
      </c>
      <c r="D3" s="26" t="str">
        <f>TEXT(WEEKDAY(DATE(CalendrierAnnée,6,3),1),"jjj")</f>
        <v>sam</v>
      </c>
      <c r="E3" s="26" t="str">
        <f>TEXT(WEEKDAY(DATE(CalendrierAnnée,6,4),1),"jjj")</f>
        <v>dim</v>
      </c>
      <c r="F3" s="26" t="str">
        <f>TEXT(WEEKDAY(DATE(CalendrierAnnée,6,5),1),"jjj")</f>
        <v>lun</v>
      </c>
      <c r="G3" s="26" t="str">
        <f>TEXT(WEEKDAY(DATE(CalendrierAnnée,6,6),1),"jjj")</f>
        <v>mar</v>
      </c>
      <c r="H3" s="26" t="str">
        <f>TEXT(WEEKDAY(DATE(CalendrierAnnée,6,7),1),"jjj")</f>
        <v>mer</v>
      </c>
      <c r="I3" s="26" t="str">
        <f>TEXT(WEEKDAY(DATE(CalendrierAnnée,6,8),1),"jjj")</f>
        <v>jeu</v>
      </c>
      <c r="J3" s="26" t="str">
        <f>TEXT(WEEKDAY(DATE(CalendrierAnnée,6,9),1),"jjj")</f>
        <v>ven</v>
      </c>
      <c r="K3" s="26" t="str">
        <f>TEXT(WEEKDAY(DATE(CalendrierAnnée,6,10),1),"jjj")</f>
        <v>sam</v>
      </c>
      <c r="L3" s="26" t="str">
        <f>TEXT(WEEKDAY(DATE(CalendrierAnnée,6,11),1),"jjj")</f>
        <v>dim</v>
      </c>
      <c r="M3" s="26" t="str">
        <f>TEXT(WEEKDAY(DATE(CalendrierAnnée,6,12),1),"jjj")</f>
        <v>lun</v>
      </c>
      <c r="N3" s="26" t="str">
        <f>TEXT(WEEKDAY(DATE(CalendrierAnnée,6,13),1),"jjj")</f>
        <v>mar</v>
      </c>
      <c r="O3" s="26" t="str">
        <f>TEXT(WEEKDAY(DATE(CalendrierAnnée,6,14),1),"jjj")</f>
        <v>mer</v>
      </c>
      <c r="P3" s="26" t="str">
        <f>TEXT(WEEKDAY(DATE(CalendrierAnnée,6,15),1),"jjj")</f>
        <v>jeu</v>
      </c>
      <c r="Q3" s="26" t="str">
        <f>TEXT(WEEKDAY(DATE(CalendrierAnnée,6,16),1),"jjj")</f>
        <v>ven</v>
      </c>
      <c r="R3" s="26" t="str">
        <f>TEXT(WEEKDAY(DATE(CalendrierAnnée,6,17),1),"jjj")</f>
        <v>sam</v>
      </c>
      <c r="S3" s="26" t="str">
        <f>TEXT(WEEKDAY(DATE(CalendrierAnnée,6,18),1),"jjj")</f>
        <v>dim</v>
      </c>
      <c r="T3" s="26" t="str">
        <f>TEXT(WEEKDAY(DATE(CalendrierAnnée,6,19),1),"jjj")</f>
        <v>lun</v>
      </c>
      <c r="U3" s="26" t="str">
        <f>TEXT(WEEKDAY(DATE(CalendrierAnnée,6,20),1),"jjj")</f>
        <v>mar</v>
      </c>
      <c r="V3" s="26" t="str">
        <f>TEXT(WEEKDAY(DATE(CalendrierAnnée,6,21),1),"jjj")</f>
        <v>mer</v>
      </c>
      <c r="W3" s="26" t="str">
        <f>TEXT(WEEKDAY(DATE(CalendrierAnnée,6,22),1),"jjj")</f>
        <v>jeu</v>
      </c>
      <c r="X3" s="26" t="str">
        <f>TEXT(WEEKDAY(DATE(CalendrierAnnée,6,23),1),"jjj")</f>
        <v>ven</v>
      </c>
      <c r="Y3" s="26" t="str">
        <f>TEXT(WEEKDAY(DATE(CalendrierAnnée,6,24),1),"jjj")</f>
        <v>sam</v>
      </c>
      <c r="Z3" s="26" t="str">
        <f>TEXT(WEEKDAY(DATE(CalendrierAnnée,6,25),1),"jjj")</f>
        <v>dim</v>
      </c>
      <c r="AA3" s="26" t="str">
        <f>TEXT(WEEKDAY(DATE(CalendrierAnnée,6,26),1),"jjj")</f>
        <v>lun</v>
      </c>
      <c r="AB3" s="26" t="str">
        <f>TEXT(WEEKDAY(DATE(CalendrierAnnée,6,27),1),"jjj")</f>
        <v>mar</v>
      </c>
      <c r="AC3" s="26" t="str">
        <f>TEXT(WEEKDAY(DATE(CalendrierAnnée,6,28),1),"jjj")</f>
        <v>mer</v>
      </c>
      <c r="AD3" s="26" t="str">
        <f>TEXT(WEEKDAY(DATE(CalendrierAnnée,6,29),1),"jjj")</f>
        <v>jeu</v>
      </c>
      <c r="AE3" s="26" t="str">
        <f>TEXT(WEEKDAY(DATE(CalendrierAnnée,6,30),1),"jjj")</f>
        <v>ven</v>
      </c>
      <c r="AF3" s="26"/>
      <c r="AG3" s="69"/>
    </row>
    <row r="4" spans="1:34" s="1" customFormat="1" ht="14.4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33</v>
      </c>
      <c r="AG4" s="7" t="s">
        <v>31</v>
      </c>
      <c r="AH4" s="2"/>
    </row>
    <row r="5" spans="1:34" s="1" customFormat="1" ht="14.4" x14ac:dyDescent="0.3">
      <c r="A5" s="43" t="s">
        <v>49</v>
      </c>
      <c r="B5" s="7"/>
      <c r="C5" s="7" t="s">
        <v>62</v>
      </c>
      <c r="D5" s="7" t="s">
        <v>62</v>
      </c>
      <c r="E5" s="7"/>
      <c r="F5" s="7" t="s">
        <v>62</v>
      </c>
      <c r="G5" s="7" t="s">
        <v>62</v>
      </c>
      <c r="H5" s="7" t="s">
        <v>62</v>
      </c>
      <c r="I5" s="7" t="s">
        <v>62</v>
      </c>
      <c r="J5" s="7" t="s">
        <v>62</v>
      </c>
      <c r="K5" s="7" t="s">
        <v>62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COUNTA(tblJuin[[#This Row],[1]:[29]])</f>
        <v>8</v>
      </c>
      <c r="AH5" s="2"/>
    </row>
    <row r="6" spans="1:34" s="1" customFormat="1" ht="14.4" x14ac:dyDescent="0.3">
      <c r="A6" s="43" t="s">
        <v>50</v>
      </c>
      <c r="B6" s="7"/>
      <c r="C6" s="7" t="s">
        <v>62</v>
      </c>
      <c r="D6" s="7" t="s">
        <v>62</v>
      </c>
      <c r="E6" s="7"/>
      <c r="F6" s="7" t="s">
        <v>62</v>
      </c>
      <c r="G6" s="7" t="s">
        <v>62</v>
      </c>
      <c r="H6" s="7" t="s">
        <v>62</v>
      </c>
      <c r="I6" s="7" t="s">
        <v>62</v>
      </c>
      <c r="J6" s="7" t="s">
        <v>62</v>
      </c>
      <c r="K6" s="7" t="s">
        <v>62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COUNTA(tblJuin[[#This Row],[1]:[29]])</f>
        <v>8</v>
      </c>
      <c r="AH6" s="2"/>
    </row>
    <row r="7" spans="1:34" ht="15" customHeight="1" x14ac:dyDescent="0.25">
      <c r="A7" s="43" t="s">
        <v>51</v>
      </c>
      <c r="B7" s="7"/>
      <c r="C7" s="7" t="s">
        <v>62</v>
      </c>
      <c r="D7" s="7" t="s">
        <v>62</v>
      </c>
      <c r="E7" s="7"/>
      <c r="F7" s="7" t="s">
        <v>62</v>
      </c>
      <c r="G7" s="7" t="s">
        <v>62</v>
      </c>
      <c r="H7" s="7" t="s">
        <v>62</v>
      </c>
      <c r="I7" s="7" t="s">
        <v>62</v>
      </c>
      <c r="J7" s="7" t="s">
        <v>62</v>
      </c>
      <c r="K7" s="7" t="s">
        <v>62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COUNTA(tblJuin[[#This Row],[1]:[29]])</f>
        <v>8</v>
      </c>
    </row>
    <row r="8" spans="1:34" ht="15" customHeight="1" x14ac:dyDescent="0.25">
      <c r="A8" s="43" t="s">
        <v>52</v>
      </c>
      <c r="B8" s="7"/>
      <c r="C8" s="7" t="s">
        <v>62</v>
      </c>
      <c r="D8" s="7" t="s">
        <v>62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COUNTA(tblJuin[[#This Row],[1]:[29]])</f>
        <v>2</v>
      </c>
    </row>
    <row r="9" spans="1:34" s="13" customFormat="1" ht="15" customHeight="1" x14ac:dyDescent="0.25">
      <c r="A9" s="43" t="s">
        <v>53</v>
      </c>
      <c r="B9" s="7"/>
      <c r="C9" s="7" t="s">
        <v>62</v>
      </c>
      <c r="D9" s="7" t="s">
        <v>62</v>
      </c>
      <c r="E9" s="7"/>
      <c r="F9" s="7" t="s">
        <v>62</v>
      </c>
      <c r="G9" s="7" t="s">
        <v>62</v>
      </c>
      <c r="H9" s="7" t="s">
        <v>62</v>
      </c>
      <c r="I9" s="7" t="s">
        <v>62</v>
      </c>
      <c r="J9" s="7" t="s">
        <v>62</v>
      </c>
      <c r="K9" s="7" t="s">
        <v>62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COUNTA(tblJuin[[#This Row],[1]:[29]])</f>
        <v>8</v>
      </c>
    </row>
    <row r="10" spans="1:34" s="13" customFormat="1" ht="15" customHeight="1" x14ac:dyDescent="0.25">
      <c r="A10" s="44" t="s">
        <v>60</v>
      </c>
      <c r="B10" s="41"/>
      <c r="C10" s="41" t="s">
        <v>62</v>
      </c>
      <c r="D10" s="41" t="s">
        <v>62</v>
      </c>
      <c r="E10" s="41"/>
      <c r="F10" s="41" t="s">
        <v>62</v>
      </c>
      <c r="G10" s="41" t="s">
        <v>62</v>
      </c>
      <c r="H10" s="41" t="s">
        <v>62</v>
      </c>
      <c r="I10" s="41" t="s">
        <v>62</v>
      </c>
      <c r="J10" s="41" t="s">
        <v>62</v>
      </c>
      <c r="K10" s="41" t="s">
        <v>62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COUNTA(tblJuin[[#This Row],[1]:[29]])</f>
        <v>8</v>
      </c>
    </row>
    <row r="11" spans="1:34" ht="1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4" spans="1:34" ht="15" customHeight="1" x14ac:dyDescent="0.25">
      <c r="C14" s="53"/>
      <c r="D14" s="53"/>
      <c r="E14" s="12"/>
      <c r="F14" s="53"/>
      <c r="G14" s="49"/>
      <c r="H14" s="49"/>
      <c r="I14" s="49"/>
      <c r="J14" s="49"/>
      <c r="K14" s="4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B15" s="59"/>
      <c r="C15" s="59"/>
      <c r="D15" s="59"/>
      <c r="E15" s="61"/>
      <c r="F15" s="59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B16" s="60"/>
      <c r="C16" s="59" t="s">
        <v>71</v>
      </c>
      <c r="D16" s="59"/>
      <c r="E16" s="61"/>
      <c r="F16" s="59"/>
      <c r="G16" s="58"/>
      <c r="H16" s="58"/>
      <c r="I16" s="58"/>
      <c r="J16" s="59"/>
      <c r="K16" s="59"/>
      <c r="L16" s="59"/>
      <c r="M16" s="59"/>
      <c r="N16" s="58"/>
      <c r="O16" s="58"/>
      <c r="P16" s="58"/>
      <c r="Q16" s="58"/>
      <c r="R16" s="58"/>
      <c r="S16" s="58"/>
      <c r="T16" s="58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2:34" ht="15" customHeight="1" x14ac:dyDescent="0.25">
      <c r="B17" s="59"/>
      <c r="C17" s="59"/>
      <c r="D17" s="59"/>
      <c r="E17" s="61"/>
      <c r="F17" s="59"/>
      <c r="G17" s="58"/>
      <c r="H17" s="58"/>
      <c r="I17" s="58"/>
      <c r="J17" s="59"/>
      <c r="K17" s="59"/>
      <c r="L17" s="59"/>
      <c r="M17" s="59"/>
      <c r="N17" s="58"/>
      <c r="O17" s="58"/>
      <c r="P17" s="58"/>
      <c r="Q17" s="58"/>
      <c r="R17" s="58"/>
      <c r="S17" s="58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2:34" ht="15" customHeight="1" x14ac:dyDescent="0.25">
      <c r="B18" s="59"/>
      <c r="C18" s="59"/>
      <c r="D18" s="59"/>
      <c r="E18" s="62"/>
      <c r="F18" s="59"/>
      <c r="G18" s="60" t="s">
        <v>72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AC18" s="12"/>
      <c r="AE18" s="14"/>
      <c r="AF18" s="14"/>
      <c r="AG18" s="14"/>
      <c r="AH18" s="14"/>
    </row>
    <row r="19" spans="2:34" ht="15" customHeight="1" x14ac:dyDescent="0.25">
      <c r="B19" s="59"/>
      <c r="C19" s="59"/>
      <c r="D19" s="59"/>
      <c r="E19" s="59"/>
      <c r="F19" s="59"/>
      <c r="G19" s="59"/>
      <c r="H19" s="59" t="s">
        <v>69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AC19" s="12"/>
      <c r="AE19" s="14"/>
      <c r="AF19" s="14"/>
      <c r="AG19" s="14"/>
      <c r="AH19" s="14"/>
    </row>
    <row r="20" spans="2:34" ht="15" customHeight="1" x14ac:dyDescent="0.25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AC20" s="12"/>
      <c r="AE20" s="14"/>
      <c r="AF20" s="14"/>
      <c r="AG20" s="14"/>
      <c r="AH20" s="14"/>
    </row>
    <row r="21" spans="2:34" ht="15" customHeight="1" x14ac:dyDescent="0.25">
      <c r="C21" s="51"/>
      <c r="D21" s="51"/>
      <c r="F21" s="51"/>
      <c r="G21" s="51"/>
      <c r="H21" s="51"/>
      <c r="I21" s="51"/>
      <c r="J21" s="51"/>
      <c r="K21" s="51"/>
      <c r="AC21" s="12"/>
      <c r="AE21" s="14"/>
      <c r="AF21" s="14"/>
      <c r="AG21" s="14"/>
      <c r="AH21" s="14"/>
    </row>
    <row r="22" spans="2:34" ht="15" customHeight="1" x14ac:dyDescent="0.25">
      <c r="AC22" s="12"/>
      <c r="AE22" s="14"/>
      <c r="AF22" s="14"/>
      <c r="AG22" s="14"/>
      <c r="AH22" s="14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</conditionalFormatting>
  <conditionalFormatting sqref="B5:AF10">
    <cfRule type="expression" dxfId="482" priority="2" stopIfTrue="1">
      <formula>B5=CléPersonnalisée2</formula>
    </cfRule>
    <cfRule type="expression" dxfId="481" priority="3" stopIfTrue="1">
      <formula>B5=CléPersonnalisée1</formula>
    </cfRule>
    <cfRule type="expression" dxfId="480" priority="4" stopIfTrue="1">
      <formula>B5=CléMaladie</formula>
    </cfRule>
    <cfRule type="expression" dxfId="479" priority="5" stopIfTrue="1">
      <formula>B5=CléPersonnelle</formula>
    </cfRule>
    <cfRule type="expression" dxfId="478" priority="6" stopIfTrue="1">
      <formula>B5=CléCongés</formula>
    </cfRule>
  </conditionalFormatting>
  <conditionalFormatting sqref="AG5:AG10">
    <cfRule type="dataBar" priority="24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{FA2C5745-D9F6-46CB-8A63-694F9E52E516}</x14:id>
        </ext>
      </extLst>
    </cfRule>
  </conditionalFormatting>
  <pageMargins left="0.7" right="0.7" top="0.75" bottom="0.75" header="0.3" footer="0.3"/>
  <pageSetup paperSize="8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2C5745-D9F6-46CB-8A63-694F9E52E516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  <pageSetUpPr fitToPage="1"/>
  </sheetPr>
  <dimension ref="A1:AH12"/>
  <sheetViews>
    <sheetView showGridLines="0" workbookViewId="0">
      <selection activeCell="A4" sqref="A4"/>
    </sheetView>
  </sheetViews>
  <sheetFormatPr baseColWidth="10" defaultColWidth="9.109375" defaultRowHeight="15" customHeight="1" x14ac:dyDescent="0.25"/>
  <cols>
    <col min="1" max="1" width="24.33203125" style="15" customWidth="1"/>
    <col min="2" max="32" width="4" style="13" customWidth="1"/>
    <col min="33" max="33" width="20.44140625" style="12" customWidth="1"/>
    <col min="34" max="34" width="9.109375" style="13"/>
    <col min="35" max="16384" width="9.109375" style="14"/>
  </cols>
  <sheetData>
    <row r="1" spans="1:34" s="1" customFormat="1" ht="50.25" customHeight="1" x14ac:dyDescent="0.3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6" t="s">
        <v>43</v>
      </c>
      <c r="B2" s="64" t="s">
        <v>64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9">
        <f>CalendrierAnnée</f>
        <v>2023</v>
      </c>
    </row>
    <row r="3" spans="1:34" ht="15.75" customHeight="1" x14ac:dyDescent="0.25">
      <c r="A3" s="66"/>
      <c r="B3" s="25" t="str">
        <f>TEXT(WEEKDAY(DATE(CalendrierAnnée,7,1),1),"jjj")</f>
        <v>sam</v>
      </c>
      <c r="C3" s="26" t="str">
        <f>TEXT(WEEKDAY(DATE(CalendrierAnnée,7,2),1),"jjj")</f>
        <v>dim</v>
      </c>
      <c r="D3" s="26" t="str">
        <f>TEXT(WEEKDAY(DATE(CalendrierAnnée,7,3),1),"jjj")</f>
        <v>lun</v>
      </c>
      <c r="E3" s="26" t="str">
        <f>TEXT(WEEKDAY(DATE(CalendrierAnnée,7,4),1),"jjj")</f>
        <v>mar</v>
      </c>
      <c r="F3" s="26" t="str">
        <f>TEXT(WEEKDAY(DATE(CalendrierAnnée,7,5),1),"jjj")</f>
        <v>mer</v>
      </c>
      <c r="G3" s="26" t="str">
        <f>TEXT(WEEKDAY(DATE(CalendrierAnnée,7,6),1),"jjj")</f>
        <v>jeu</v>
      </c>
      <c r="H3" s="26" t="str">
        <f>TEXT(WEEKDAY(DATE(CalendrierAnnée,7,7),1),"jjj")</f>
        <v>ven</v>
      </c>
      <c r="I3" s="26" t="str">
        <f>TEXT(WEEKDAY(DATE(CalendrierAnnée,7,8),1),"jjj")</f>
        <v>sam</v>
      </c>
      <c r="J3" s="26" t="str">
        <f>TEXT(WEEKDAY(DATE(CalendrierAnnée,7,9),1),"jjj")</f>
        <v>dim</v>
      </c>
      <c r="K3" s="26" t="str">
        <f>TEXT(WEEKDAY(DATE(CalendrierAnnée,7,10),1),"jjj")</f>
        <v>lun</v>
      </c>
      <c r="L3" s="26" t="str">
        <f>TEXT(WEEKDAY(DATE(CalendrierAnnée,7,11),1),"jjj")</f>
        <v>mar</v>
      </c>
      <c r="M3" s="26" t="str">
        <f>TEXT(WEEKDAY(DATE(CalendrierAnnée,7,12),1),"jjj")</f>
        <v>mer</v>
      </c>
      <c r="N3" s="26" t="str">
        <f>TEXT(WEEKDAY(DATE(CalendrierAnnée,7,13),1),"jjj")</f>
        <v>jeu</v>
      </c>
      <c r="O3" s="26" t="str">
        <f>TEXT(WEEKDAY(DATE(CalendrierAnnée,7,14),1),"jjj")</f>
        <v>ven</v>
      </c>
      <c r="P3" s="26" t="str">
        <f>TEXT(WEEKDAY(DATE(CalendrierAnnée,7,15),1),"jjj")</f>
        <v>sam</v>
      </c>
      <c r="Q3" s="26" t="str">
        <f>TEXT(WEEKDAY(DATE(CalendrierAnnée,7,16),1),"jjj")</f>
        <v>dim</v>
      </c>
      <c r="R3" s="26" t="str">
        <f>TEXT(WEEKDAY(DATE(CalendrierAnnée,7,17),1),"jjj")</f>
        <v>lun</v>
      </c>
      <c r="S3" s="26" t="str">
        <f>TEXT(WEEKDAY(DATE(CalendrierAnnée,7,18),1),"jjj")</f>
        <v>mar</v>
      </c>
      <c r="T3" s="26" t="str">
        <f>TEXT(WEEKDAY(DATE(CalendrierAnnée,7,19),1),"jjj")</f>
        <v>mer</v>
      </c>
      <c r="U3" s="26" t="str">
        <f>TEXT(WEEKDAY(DATE(CalendrierAnnée,7,20),1),"jjj")</f>
        <v>jeu</v>
      </c>
      <c r="V3" s="26" t="str">
        <f>TEXT(WEEKDAY(DATE(CalendrierAnnée,7,21),1),"jjj")</f>
        <v>ven</v>
      </c>
      <c r="W3" s="26" t="str">
        <f>TEXT(WEEKDAY(DATE(CalendrierAnnée,7,22),1),"jjj")</f>
        <v>sam</v>
      </c>
      <c r="X3" s="26" t="str">
        <f>TEXT(WEEKDAY(DATE(CalendrierAnnée,7,23),1),"jjj")</f>
        <v>dim</v>
      </c>
      <c r="Y3" s="26" t="str">
        <f>TEXT(WEEKDAY(DATE(CalendrierAnnée,7,24),1),"jjj")</f>
        <v>lun</v>
      </c>
      <c r="Z3" s="26" t="str">
        <f>TEXT(WEEKDAY(DATE(CalendrierAnnée,7,25),1),"jjj")</f>
        <v>mar</v>
      </c>
      <c r="AA3" s="26" t="str">
        <f>TEXT(WEEKDAY(DATE(CalendrierAnnée,7,26),1),"jjj")</f>
        <v>mer</v>
      </c>
      <c r="AB3" s="26" t="str">
        <f>TEXT(WEEKDAY(DATE(CalendrierAnnée,7,27),1),"jjj")</f>
        <v>jeu</v>
      </c>
      <c r="AC3" s="26" t="str">
        <f>TEXT(WEEKDAY(DATE(CalendrierAnnée,7,28),1),"jjj")</f>
        <v>ven</v>
      </c>
      <c r="AD3" s="26" t="str">
        <f>TEXT(WEEKDAY(DATE(CalendrierAnnée,7,29),1),"jjj")</f>
        <v>sam</v>
      </c>
      <c r="AE3" s="26" t="str">
        <f>TEXT(WEEKDAY(DATE(CalendrierAnnée,7,30),1),"jjj")</f>
        <v>dim</v>
      </c>
      <c r="AF3" s="26" t="str">
        <f>TEXT(WEEKDAY(DATE(CalendrierAnnée,7,31),1),"jjj")</f>
        <v>lun</v>
      </c>
      <c r="AG3" s="69"/>
    </row>
    <row r="4" spans="1:34" s="1" customFormat="1" ht="14.4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ht="14.4" x14ac:dyDescent="0.3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COUNTA(tblJuillet[[#This Row],[1]:[29]])</f>
        <v>0</v>
      </c>
      <c r="AH5" s="2"/>
    </row>
    <row r="6" spans="1:34" s="1" customFormat="1" ht="14.4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COUNTA(tblJuillet[[#This Row],[1]:[29]])</f>
        <v>0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COUNTA(tblJuillet[[#This Row],[1]:[29]])</f>
        <v>0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COUNTA(tblJuillet[[#This Row],[1]:[29]])</f>
        <v>0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COUNTA(tblJuillet[[#This Row],[1]:[29]])</f>
        <v>0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COUNTA(tblJuillet[[#This Row],[1]:[29]])</f>
        <v>0</v>
      </c>
    </row>
    <row r="11" spans="1:34" ht="1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</conditionalFormatting>
  <conditionalFormatting sqref="B5:AF10">
    <cfRule type="expression" dxfId="413" priority="2" stopIfTrue="1">
      <formula>B5=CléPersonnalisée2</formula>
    </cfRule>
    <cfRule type="expression" dxfId="412" priority="3" stopIfTrue="1">
      <formula>B5=CléPersonnalisée1</formula>
    </cfRule>
    <cfRule type="expression" dxfId="411" priority="4" stopIfTrue="1">
      <formula>B5=CléMaladie</formula>
    </cfRule>
    <cfRule type="expression" dxfId="410" priority="5" stopIfTrue="1">
      <formula>B5=CléPersonnelle</formula>
    </cfRule>
    <cfRule type="expression" dxfId="409" priority="6" stopIfTrue="1">
      <formula>B5=CléCongés</formula>
    </cfRule>
  </conditionalFormatting>
  <conditionalFormatting sqref="AG5:AG10">
    <cfRule type="dataBar" priority="25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{15FE6D65-ECEC-46F2-A3C1-0385AFBC7710}</x14:id>
        </ext>
      </extLst>
    </cfRule>
  </conditionalFormatting>
  <pageMargins left="0.25" right="0.25" top="0.75" bottom="0.75" header="0.3" footer="0.3"/>
  <pageSetup scale="80" fitToHeight="0" orientation="landscape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FE6D65-ECEC-46F2-A3C1-0385AFBC7710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AH12"/>
  <sheetViews>
    <sheetView showGridLines="0" workbookViewId="0">
      <selection activeCell="A4" sqref="A4"/>
    </sheetView>
  </sheetViews>
  <sheetFormatPr baseColWidth="10" defaultColWidth="9.109375" defaultRowHeight="15" customHeight="1" x14ac:dyDescent="0.25"/>
  <cols>
    <col min="1" max="1" width="24.33203125" style="15" customWidth="1"/>
    <col min="2" max="32" width="4" style="13" customWidth="1"/>
    <col min="33" max="33" width="20.44140625" style="12" customWidth="1"/>
    <col min="34" max="34" width="9.109375" style="13"/>
    <col min="35" max="16384" width="9.109375" style="14"/>
  </cols>
  <sheetData>
    <row r="1" spans="1:34" s="1" customFormat="1" ht="50.25" customHeight="1" x14ac:dyDescent="0.3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6" t="s">
        <v>44</v>
      </c>
      <c r="B2" s="64" t="s">
        <v>64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9">
        <f>CalendrierAnnée</f>
        <v>2023</v>
      </c>
    </row>
    <row r="3" spans="1:34" ht="15.75" customHeight="1" x14ac:dyDescent="0.25">
      <c r="A3" s="66"/>
      <c r="B3" s="25" t="str">
        <f>TEXT(WEEKDAY(DATE(CalendrierAnnée,8,1),1),"jjj")</f>
        <v>mar</v>
      </c>
      <c r="C3" s="26" t="str">
        <f>TEXT(WEEKDAY(DATE(CalendrierAnnée,8,2),1),"jjj")</f>
        <v>mer</v>
      </c>
      <c r="D3" s="26" t="str">
        <f>TEXT(WEEKDAY(DATE(CalendrierAnnée,8,3),1),"jjj")</f>
        <v>jeu</v>
      </c>
      <c r="E3" s="26" t="str">
        <f>TEXT(WEEKDAY(DATE(CalendrierAnnée,8,4),1),"jjj")</f>
        <v>ven</v>
      </c>
      <c r="F3" s="26" t="str">
        <f>TEXT(WEEKDAY(DATE(CalendrierAnnée,8,5),1),"jjj")</f>
        <v>sam</v>
      </c>
      <c r="G3" s="26" t="str">
        <f>TEXT(WEEKDAY(DATE(CalendrierAnnée,8,6),1),"jjj")</f>
        <v>dim</v>
      </c>
      <c r="H3" s="26" t="str">
        <f>TEXT(WEEKDAY(DATE(CalendrierAnnée,8,7),1),"jjj")</f>
        <v>lun</v>
      </c>
      <c r="I3" s="26" t="str">
        <f>TEXT(WEEKDAY(DATE(CalendrierAnnée,8,8),1),"jjj")</f>
        <v>mar</v>
      </c>
      <c r="J3" s="26" t="str">
        <f>TEXT(WEEKDAY(DATE(CalendrierAnnée,8,9),1),"jjj")</f>
        <v>mer</v>
      </c>
      <c r="K3" s="26" t="str">
        <f>TEXT(WEEKDAY(DATE(CalendrierAnnée,8,10),1),"jjj")</f>
        <v>jeu</v>
      </c>
      <c r="L3" s="26" t="str">
        <f>TEXT(WEEKDAY(DATE(CalendrierAnnée,8,11),1),"jjj")</f>
        <v>ven</v>
      </c>
      <c r="M3" s="26" t="str">
        <f>TEXT(WEEKDAY(DATE(CalendrierAnnée,8,12),1),"jjj")</f>
        <v>sam</v>
      </c>
      <c r="N3" s="26" t="str">
        <f>TEXT(WEEKDAY(DATE(CalendrierAnnée,8,13),1),"jjj")</f>
        <v>dim</v>
      </c>
      <c r="O3" s="26" t="str">
        <f>TEXT(WEEKDAY(DATE(CalendrierAnnée,8,14),1),"jjj")</f>
        <v>lun</v>
      </c>
      <c r="P3" s="26" t="str">
        <f>TEXT(WEEKDAY(DATE(CalendrierAnnée,8,15),1),"jjj")</f>
        <v>mar</v>
      </c>
      <c r="Q3" s="26" t="str">
        <f>TEXT(WEEKDAY(DATE(CalendrierAnnée,8,16),1),"jjj")</f>
        <v>mer</v>
      </c>
      <c r="R3" s="26" t="str">
        <f>TEXT(WEEKDAY(DATE(CalendrierAnnée,8,17),1),"jjj")</f>
        <v>jeu</v>
      </c>
      <c r="S3" s="26" t="str">
        <f>TEXT(WEEKDAY(DATE(CalendrierAnnée,8,18),1),"jjj")</f>
        <v>ven</v>
      </c>
      <c r="T3" s="26" t="str">
        <f>TEXT(WEEKDAY(DATE(CalendrierAnnée,8,19),1),"jjj")</f>
        <v>sam</v>
      </c>
      <c r="U3" s="26" t="str">
        <f>TEXT(WEEKDAY(DATE(CalendrierAnnée,8,20),1),"jjj")</f>
        <v>dim</v>
      </c>
      <c r="V3" s="26" t="str">
        <f>TEXT(WEEKDAY(DATE(CalendrierAnnée,8,21),1),"jjj")</f>
        <v>lun</v>
      </c>
      <c r="W3" s="26" t="str">
        <f>TEXT(WEEKDAY(DATE(CalendrierAnnée,8,22),1),"jjj")</f>
        <v>mar</v>
      </c>
      <c r="X3" s="26" t="str">
        <f>TEXT(WEEKDAY(DATE(CalendrierAnnée,8,23),1),"jjj")</f>
        <v>mer</v>
      </c>
      <c r="Y3" s="26" t="str">
        <f>TEXT(WEEKDAY(DATE(CalendrierAnnée,8,24),1),"jjj")</f>
        <v>jeu</v>
      </c>
      <c r="Z3" s="26" t="str">
        <f>TEXT(WEEKDAY(DATE(CalendrierAnnée,8,25),1),"jjj")</f>
        <v>ven</v>
      </c>
      <c r="AA3" s="26" t="str">
        <f>TEXT(WEEKDAY(DATE(CalendrierAnnée,8,26),1),"jjj")</f>
        <v>sam</v>
      </c>
      <c r="AB3" s="26" t="str">
        <f>TEXT(WEEKDAY(DATE(CalendrierAnnée,8,27),1),"jjj")</f>
        <v>dim</v>
      </c>
      <c r="AC3" s="26" t="str">
        <f>TEXT(WEEKDAY(DATE(CalendrierAnnée,8,28),1),"jjj")</f>
        <v>lun</v>
      </c>
      <c r="AD3" s="26" t="str">
        <f>TEXT(WEEKDAY(DATE(CalendrierAnnée,8,29),1),"jjj")</f>
        <v>mar</v>
      </c>
      <c r="AE3" s="26" t="str">
        <f>TEXT(WEEKDAY(DATE(CalendrierAnnée,8,30),1),"jjj")</f>
        <v>mer</v>
      </c>
      <c r="AF3" s="26" t="str">
        <f>TEXT(WEEKDAY(DATE(CalendrierAnnée,8,31),1),"jjj")</f>
        <v>jeu</v>
      </c>
      <c r="AG3" s="69"/>
    </row>
    <row r="4" spans="1:34" s="1" customFormat="1" ht="14.4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30</v>
      </c>
      <c r="AG4" s="7" t="s">
        <v>31</v>
      </c>
      <c r="AH4" s="2"/>
    </row>
    <row r="5" spans="1:34" s="1" customFormat="1" ht="14.4" x14ac:dyDescent="0.3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COUNTA(tblAoût[[#This Row],[1]:[29]])</f>
        <v>0</v>
      </c>
      <c r="AH5" s="2"/>
    </row>
    <row r="6" spans="1:34" s="1" customFormat="1" ht="14.4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COUNTA(tblAoût[[#This Row],[1]:[29]])</f>
        <v>0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1">
        <f>COUNTA(tblAoût[[#This Row],[1]:[29]])</f>
        <v>0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COUNTA(tblAoût[[#This Row],[1]:[29]])</f>
        <v>0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COUNTA(tblAoût[[#This Row],[1]:[29]])</f>
        <v>0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COUNTA(tblAoût[[#This Row],[1]:[29]])</f>
        <v>0</v>
      </c>
    </row>
    <row r="11" spans="1:34" ht="1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</conditionalFormatting>
  <conditionalFormatting sqref="B5:AF10">
    <cfRule type="expression" dxfId="344" priority="2" stopIfTrue="1">
      <formula>B5=CléPersonnalisée2</formula>
    </cfRule>
    <cfRule type="expression" dxfId="343" priority="3" stopIfTrue="1">
      <formula>B5=CléPersonnalisée1</formula>
    </cfRule>
    <cfRule type="expression" dxfId="342" priority="4" stopIfTrue="1">
      <formula>B5=CléMaladie</formula>
    </cfRule>
    <cfRule type="expression" dxfId="341" priority="5" stopIfTrue="1">
      <formula>B5=CléPersonnelle</formula>
    </cfRule>
    <cfRule type="expression" dxfId="340" priority="6" stopIfTrue="1">
      <formula>B5=CléCongés</formula>
    </cfRule>
  </conditionalFormatting>
  <conditionalFormatting sqref="AG5:AG10">
    <cfRule type="dataBar" priority="26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{FC085EDD-0205-4B5F-B398-CECC5AA8DBEE}</x14:id>
        </ext>
      </extLst>
    </cfRule>
  </conditionalFormatting>
  <pageMargins left="0.25" right="0.25" top="0.75" bottom="0.75" header="0.3" footer="0.3"/>
  <pageSetup scale="80" fitToHeight="0" orientation="landscape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085EDD-0205-4B5F-B398-CECC5AA8DBEE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AH19"/>
  <sheetViews>
    <sheetView showGridLines="0" workbookViewId="0">
      <selection activeCell="AB22" sqref="AB22"/>
    </sheetView>
  </sheetViews>
  <sheetFormatPr baseColWidth="10" defaultColWidth="9.109375" defaultRowHeight="15" customHeight="1" x14ac:dyDescent="0.25"/>
  <cols>
    <col min="1" max="1" width="24.33203125" style="15" customWidth="1"/>
    <col min="2" max="32" width="4" style="13" customWidth="1"/>
    <col min="33" max="33" width="20.44140625" style="12" customWidth="1"/>
    <col min="34" max="34" width="9.109375" style="13"/>
    <col min="35" max="16384" width="9.109375" style="14"/>
  </cols>
  <sheetData>
    <row r="1" spans="1:34" s="1" customFormat="1" ht="50.25" customHeight="1" x14ac:dyDescent="0.3">
      <c r="A1" s="24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7"/>
      <c r="AD1" s="17"/>
      <c r="AE1" s="18"/>
      <c r="AF1"/>
      <c r="AG1"/>
      <c r="AH1" s="2"/>
    </row>
    <row r="2" spans="1:34" ht="30" customHeight="1" x14ac:dyDescent="0.25">
      <c r="A2" s="66" t="s">
        <v>45</v>
      </c>
      <c r="B2" s="64" t="s">
        <v>54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9">
        <f>CalendrierAnnée</f>
        <v>2023</v>
      </c>
    </row>
    <row r="3" spans="1:34" ht="15.75" customHeight="1" x14ac:dyDescent="0.25">
      <c r="A3" s="66"/>
      <c r="B3" s="25" t="str">
        <f>TEXT(WEEKDAY(DATE(CalendrierAnnée,9,1),1),"jjj")</f>
        <v>ven</v>
      </c>
      <c r="C3" s="26" t="str">
        <f>TEXT(WEEKDAY(DATE(CalendrierAnnée,9,2),1),"jjj")</f>
        <v>sam</v>
      </c>
      <c r="D3" s="26" t="str">
        <f>TEXT(WEEKDAY(DATE(CalendrierAnnée,9,3),1),"jjj")</f>
        <v>dim</v>
      </c>
      <c r="E3" s="26" t="str">
        <f>TEXT(WEEKDAY(DATE(CalendrierAnnée,9,4),1),"jjj")</f>
        <v>lun</v>
      </c>
      <c r="F3" s="26" t="str">
        <f>TEXT(WEEKDAY(DATE(CalendrierAnnée,9,5),1),"jjj")</f>
        <v>mar</v>
      </c>
      <c r="G3" s="26" t="str">
        <f>TEXT(WEEKDAY(DATE(CalendrierAnnée,9,6),1),"jjj")</f>
        <v>mer</v>
      </c>
      <c r="H3" s="26" t="str">
        <f>TEXT(WEEKDAY(DATE(CalendrierAnnée,9,7),1),"jjj")</f>
        <v>jeu</v>
      </c>
      <c r="I3" s="26" t="str">
        <f>TEXT(WEEKDAY(DATE(CalendrierAnnée,9,8),1),"jjj")</f>
        <v>ven</v>
      </c>
      <c r="J3" s="26" t="str">
        <f>TEXT(WEEKDAY(DATE(CalendrierAnnée,9,9),1),"jjj")</f>
        <v>sam</v>
      </c>
      <c r="K3" s="26" t="str">
        <f>TEXT(WEEKDAY(DATE(CalendrierAnnée,9,10),1),"jjj")</f>
        <v>dim</v>
      </c>
      <c r="L3" s="26" t="str">
        <f>TEXT(WEEKDAY(DATE(CalendrierAnnée,9,11),1),"jjj")</f>
        <v>lun</v>
      </c>
      <c r="M3" s="26" t="str">
        <f>TEXT(WEEKDAY(DATE(CalendrierAnnée,9,12),1),"jjj")</f>
        <v>mar</v>
      </c>
      <c r="N3" s="26" t="str">
        <f>TEXT(WEEKDAY(DATE(CalendrierAnnée,9,13),1),"jjj")</f>
        <v>mer</v>
      </c>
      <c r="O3" s="26" t="str">
        <f>TEXT(WEEKDAY(DATE(CalendrierAnnée,9,14),1),"jjj")</f>
        <v>jeu</v>
      </c>
      <c r="P3" s="26" t="str">
        <f>TEXT(WEEKDAY(DATE(CalendrierAnnée,9,15),1),"jjj")</f>
        <v>ven</v>
      </c>
      <c r="Q3" s="26" t="str">
        <f>TEXT(WEEKDAY(DATE(CalendrierAnnée,9,16),1),"jjj")</f>
        <v>sam</v>
      </c>
      <c r="R3" s="26" t="str">
        <f>TEXT(WEEKDAY(DATE(CalendrierAnnée,9,17),1),"jjj")</f>
        <v>dim</v>
      </c>
      <c r="S3" s="26" t="str">
        <f>TEXT(WEEKDAY(DATE(CalendrierAnnée,9,18),1),"jjj")</f>
        <v>lun</v>
      </c>
      <c r="T3" s="26" t="str">
        <f>TEXT(WEEKDAY(DATE(CalendrierAnnée,9,19),1),"jjj")</f>
        <v>mar</v>
      </c>
      <c r="U3" s="26" t="str">
        <f>TEXT(WEEKDAY(DATE(CalendrierAnnée,9,20),1),"jjj")</f>
        <v>mer</v>
      </c>
      <c r="V3" s="26" t="str">
        <f>TEXT(WEEKDAY(DATE(CalendrierAnnée,9,21),1),"jjj")</f>
        <v>jeu</v>
      </c>
      <c r="W3" s="26" t="str">
        <f>TEXT(WEEKDAY(DATE(CalendrierAnnée,9,22),1),"jjj")</f>
        <v>ven</v>
      </c>
      <c r="X3" s="26" t="str">
        <f>TEXT(WEEKDAY(DATE(CalendrierAnnée,9,23),1),"jjj")</f>
        <v>sam</v>
      </c>
      <c r="Y3" s="26" t="str">
        <f>TEXT(WEEKDAY(DATE(CalendrierAnnée,9,24),1),"jjj")</f>
        <v>dim</v>
      </c>
      <c r="Z3" s="26" t="str">
        <f>TEXT(WEEKDAY(DATE(CalendrierAnnée,9,25),1),"jjj")</f>
        <v>lun</v>
      </c>
      <c r="AA3" s="26" t="str">
        <f>TEXT(WEEKDAY(DATE(CalendrierAnnée,9,26),1),"jjj")</f>
        <v>mar</v>
      </c>
      <c r="AB3" s="26" t="str">
        <f>TEXT(WEEKDAY(DATE(CalendrierAnnée,9,27),1),"jjj")</f>
        <v>mer</v>
      </c>
      <c r="AC3" s="26" t="str">
        <f>TEXT(WEEKDAY(DATE(CalendrierAnnée,9,28),1),"jjj")</f>
        <v>jeu</v>
      </c>
      <c r="AD3" s="26" t="str">
        <f>TEXT(WEEKDAY(DATE(CalendrierAnnée,9,29),1),"jjj")</f>
        <v>ven</v>
      </c>
      <c r="AE3" s="26" t="str">
        <f>TEXT(WEEKDAY(DATE(CalendrierAnnée,9,30),1),"jjj")</f>
        <v>sam</v>
      </c>
      <c r="AF3" s="26"/>
      <c r="AG3" s="69"/>
    </row>
    <row r="4" spans="1:34" s="1" customFormat="1" ht="14.4" x14ac:dyDescent="0.3">
      <c r="A4" s="45" t="s">
        <v>55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7" t="s">
        <v>15</v>
      </c>
      <c r="R4" s="7" t="s">
        <v>16</v>
      </c>
      <c r="S4" s="7" t="s">
        <v>17</v>
      </c>
      <c r="T4" s="7" t="s">
        <v>18</v>
      </c>
      <c r="U4" s="7" t="s">
        <v>19</v>
      </c>
      <c r="V4" s="7" t="s">
        <v>20</v>
      </c>
      <c r="W4" s="7" t="s">
        <v>21</v>
      </c>
      <c r="X4" s="7" t="s">
        <v>22</v>
      </c>
      <c r="Y4" s="7" t="s">
        <v>23</v>
      </c>
      <c r="Z4" s="7" t="s">
        <v>24</v>
      </c>
      <c r="AA4" s="7" t="s">
        <v>25</v>
      </c>
      <c r="AB4" s="7" t="s">
        <v>26</v>
      </c>
      <c r="AC4" s="7" t="s">
        <v>27</v>
      </c>
      <c r="AD4" s="7" t="s">
        <v>28</v>
      </c>
      <c r="AE4" s="7" t="s">
        <v>29</v>
      </c>
      <c r="AF4" s="7" t="s">
        <v>33</v>
      </c>
      <c r="AG4" s="7" t="s">
        <v>31</v>
      </c>
      <c r="AH4" s="2"/>
    </row>
    <row r="5" spans="1:34" s="1" customFormat="1" ht="14.4" x14ac:dyDescent="0.3">
      <c r="A5" s="43" t="s">
        <v>49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1">
        <f>COUNTA(tblSeptembre[[#This Row],[1]:[29]])</f>
        <v>0</v>
      </c>
      <c r="AH5" s="2"/>
    </row>
    <row r="6" spans="1:34" s="1" customFormat="1" ht="14.4" x14ac:dyDescent="0.3">
      <c r="A6" s="43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1">
        <f>COUNTA(tblSeptembre[[#This Row],[1]:[29]])</f>
        <v>0</v>
      </c>
      <c r="AH6" s="2"/>
    </row>
    <row r="7" spans="1:34" ht="15" customHeight="1" x14ac:dyDescent="0.25">
      <c r="A7" s="43" t="s">
        <v>51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 t="s">
        <v>32</v>
      </c>
      <c r="AA7" s="7"/>
      <c r="AB7" s="7"/>
      <c r="AC7" s="7"/>
      <c r="AD7" s="7"/>
      <c r="AE7" s="7"/>
      <c r="AF7" s="7"/>
      <c r="AG7" s="11">
        <f>COUNTA(tblSeptembre[[#This Row],[1]:[29]])</f>
        <v>1</v>
      </c>
    </row>
    <row r="8" spans="1:34" ht="15" customHeight="1" x14ac:dyDescent="0.25">
      <c r="A8" s="43" t="s">
        <v>52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1">
        <f>COUNTA(tblSeptembre[[#This Row],[1]:[29]])</f>
        <v>0</v>
      </c>
    </row>
    <row r="9" spans="1:34" s="13" customFormat="1" ht="15" customHeight="1" x14ac:dyDescent="0.25">
      <c r="A9" s="43" t="s">
        <v>53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1">
        <f>COUNTA(tblSeptembre[[#This Row],[1]:[29]])</f>
        <v>0</v>
      </c>
    </row>
    <row r="10" spans="1:34" s="13" customFormat="1" ht="15" customHeight="1" x14ac:dyDescent="0.25">
      <c r="A10" s="44" t="s">
        <v>60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7"/>
      <c r="Z10" s="41"/>
      <c r="AA10" s="41"/>
      <c r="AB10" s="41"/>
      <c r="AC10" s="41"/>
      <c r="AD10" s="41"/>
      <c r="AE10" s="41"/>
      <c r="AF10" s="41"/>
      <c r="AG10" s="11">
        <f>COUNTA(tblSeptembre[[#This Row],[1]:[29]])</f>
        <v>0</v>
      </c>
    </row>
    <row r="11" spans="1:34" ht="15" customHeight="1" x14ac:dyDescent="0.2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4" ht="15" customHeight="1" x14ac:dyDescent="0.3">
      <c r="A12"/>
      <c r="B12" s="38" t="str">
        <f>Janvier!B12</f>
        <v>Clé de couleur</v>
      </c>
      <c r="C12" s="38"/>
      <c r="D12" s="38"/>
      <c r="E12" s="38"/>
      <c r="F12" s="39"/>
      <c r="G12" s="23" t="str">
        <f>CléCongés</f>
        <v>M</v>
      </c>
      <c r="H12" s="35" t="str">
        <f>ÉtiquetteCléCongés</f>
        <v>Matin</v>
      </c>
      <c r="I12" s="36"/>
      <c r="J12" s="36"/>
      <c r="K12" s="19" t="str">
        <f>CléPersonnelle</f>
        <v>AM</v>
      </c>
      <c r="L12" s="35" t="str">
        <f>ÉtiquetteCléPersonnelle</f>
        <v>après-midi</v>
      </c>
      <c r="M12" s="36"/>
      <c r="N12" s="36"/>
      <c r="O12" s="20" t="str">
        <f>CléMaladie</f>
        <v>J</v>
      </c>
      <c r="P12" s="35" t="str">
        <f>ÉtiquetteCléMaladie</f>
        <v>journée</v>
      </c>
      <c r="Q12" s="36"/>
      <c r="R12" s="36"/>
      <c r="S12" s="21" t="str">
        <f>CléPersonnalisée1</f>
        <v>N</v>
      </c>
      <c r="T12" s="40" t="str">
        <f>ÉtiquetteCléPersonnalisée1</f>
        <v>nuit</v>
      </c>
      <c r="U12" s="37"/>
      <c r="V12" s="36"/>
      <c r="W12" s="22">
        <f>CléPersonnalisée2</f>
        <v>0</v>
      </c>
      <c r="X12" s="40" t="str">
        <f>ÉtiquetteCléPersonnalisée2</f>
        <v>Personnalisé 2</v>
      </c>
      <c r="Y12" s="36"/>
      <c r="Z12" s="37"/>
    </row>
    <row r="13" spans="1:34" ht="15" customHeight="1" x14ac:dyDescent="0.25">
      <c r="T13" s="59"/>
      <c r="U13" s="59"/>
      <c r="V13" s="59"/>
      <c r="W13" s="59"/>
      <c r="X13" s="59"/>
      <c r="Y13" s="59"/>
      <c r="Z13" s="59"/>
      <c r="AA13" s="59"/>
      <c r="AB13" s="58"/>
      <c r="AC13" s="58"/>
      <c r="AD13" s="58"/>
      <c r="AE13" s="58"/>
      <c r="AF13" s="14"/>
      <c r="AG13" s="14"/>
      <c r="AH13" s="14"/>
    </row>
    <row r="14" spans="1:34" ht="15" customHeight="1" x14ac:dyDescent="0.25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14"/>
      <c r="AG14" s="14"/>
      <c r="AH14" s="14"/>
    </row>
    <row r="15" spans="1:34" ht="15" customHeight="1" x14ac:dyDescent="0.25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14"/>
      <c r="AG15" s="14"/>
      <c r="AH15" s="14"/>
    </row>
    <row r="16" spans="1:34" ht="15" customHeight="1" x14ac:dyDescent="0.25">
      <c r="D16" s="14"/>
      <c r="E16" s="14"/>
      <c r="F16" s="14"/>
      <c r="G16" s="14"/>
      <c r="H16" s="14"/>
      <c r="I16" s="14"/>
      <c r="J16" s="14"/>
      <c r="K16" s="14"/>
      <c r="P16" s="14"/>
      <c r="Q16" s="14"/>
      <c r="R16" s="14"/>
      <c r="S16" s="14"/>
      <c r="T16" s="58"/>
      <c r="U16" s="58"/>
      <c r="V16" s="58"/>
      <c r="W16" s="58"/>
      <c r="X16" s="58"/>
      <c r="Y16" s="14"/>
      <c r="Z16" s="14"/>
      <c r="AA16" s="14"/>
      <c r="AB16" s="14"/>
      <c r="AC16" s="58"/>
      <c r="AD16" s="58"/>
      <c r="AE16" s="58"/>
      <c r="AF16" s="14"/>
      <c r="AG16" s="14"/>
      <c r="AH16" s="14"/>
    </row>
    <row r="17" spans="4:34" ht="15" customHeight="1" x14ac:dyDescent="0.25">
      <c r="D17" s="14"/>
      <c r="E17" s="14"/>
      <c r="F17" s="14"/>
      <c r="G17" s="14"/>
      <c r="H17" s="14"/>
      <c r="I17" s="14"/>
      <c r="J17" s="14"/>
      <c r="K17" s="14"/>
      <c r="P17" s="14"/>
      <c r="Q17" s="14"/>
      <c r="R17" s="14"/>
      <c r="S17" s="14"/>
      <c r="T17" s="58"/>
      <c r="U17" s="58"/>
      <c r="V17" s="58"/>
      <c r="W17" s="58"/>
      <c r="X17" s="58"/>
      <c r="Y17" s="14"/>
      <c r="Z17" s="52" t="s">
        <v>66</v>
      </c>
      <c r="AA17" s="14"/>
      <c r="AB17" s="14"/>
      <c r="AC17" s="58"/>
      <c r="AD17" s="58"/>
      <c r="AE17" s="58"/>
      <c r="AF17" s="14"/>
      <c r="AG17" s="14"/>
      <c r="AH17" s="14"/>
    </row>
    <row r="18" spans="4:34" ht="15" customHeight="1" x14ac:dyDescent="0.25">
      <c r="D18" s="14"/>
      <c r="E18" s="14"/>
      <c r="F18" s="14"/>
      <c r="G18" s="14"/>
      <c r="H18" s="14"/>
      <c r="I18" s="14"/>
      <c r="J18" s="14"/>
      <c r="K18" s="14"/>
      <c r="P18" s="14"/>
      <c r="Q18" s="14"/>
      <c r="R18" s="14"/>
      <c r="S18" s="14"/>
      <c r="T18" s="58"/>
      <c r="U18" s="58"/>
      <c r="V18" s="58"/>
      <c r="W18" s="58"/>
      <c r="X18" s="58"/>
      <c r="Y18" s="14"/>
      <c r="Z18" s="14"/>
      <c r="AA18" s="14"/>
      <c r="AB18" s="14"/>
      <c r="AC18" s="58"/>
      <c r="AD18" s="58"/>
      <c r="AE18" s="58"/>
      <c r="AF18" s="14"/>
      <c r="AG18" s="14"/>
      <c r="AH18" s="14"/>
    </row>
    <row r="19" spans="4:34" ht="15" customHeight="1" x14ac:dyDescent="0.25"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</row>
  </sheetData>
  <mergeCells count="4">
    <mergeCell ref="A2:A3"/>
    <mergeCell ref="B2:AF2"/>
    <mergeCell ref="AG2:AG3"/>
    <mergeCell ref="A11:AG11"/>
  </mergeCells>
  <conditionalFormatting sqref="B5:AF10">
    <cfRule type="expression" priority="1" stopIfTrue="1">
      <formula>B5=""</formula>
    </cfRule>
  </conditionalFormatting>
  <conditionalFormatting sqref="B5:AF10">
    <cfRule type="expression" dxfId="275" priority="2" stopIfTrue="1">
      <formula>B5=CléPersonnalisée2</formula>
    </cfRule>
    <cfRule type="expression" dxfId="274" priority="3" stopIfTrue="1">
      <formula>B5=CléPersonnalisée1</formula>
    </cfRule>
    <cfRule type="expression" dxfId="273" priority="4" stopIfTrue="1">
      <formula>B5=CléMaladie</formula>
    </cfRule>
    <cfRule type="expression" dxfId="272" priority="5" stopIfTrue="1">
      <formula>B5=CléPersonnelle</formula>
    </cfRule>
    <cfRule type="expression" dxfId="271" priority="6" stopIfTrue="1">
      <formula>B5=CléCongés</formula>
    </cfRule>
  </conditionalFormatting>
  <conditionalFormatting sqref="AG5:AG10">
    <cfRule type="dataBar" priority="27">
      <dataBar>
        <cfvo type="min"/>
        <cfvo type="formula" val="DATEDIF(DATE(CalendrierAnnée,2,1),DATE(CalendrierAnnée,3,1),&quot;d&quot;)"/>
        <color theme="2" tint="-0.249977111117893"/>
      </dataBar>
      <extLst>
        <ext xmlns:x14="http://schemas.microsoft.com/office/spreadsheetml/2009/9/main" uri="{B025F937-C7B1-47D3-B67F-A62EFF666E3E}">
          <x14:id>{1477F465-23A5-4E7F-BDEC-11297175FB9A}</x14:id>
        </ext>
      </extLst>
    </cfRule>
  </conditionalFormatting>
  <pageMargins left="0.25" right="0.25" top="0.75" bottom="0.75" header="0.3" footer="0.3"/>
  <pageSetup scale="77" fitToHeight="0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77F465-23A5-4E7F-BDEC-11297175FB9A}">
            <x14:dataBar minLength="0" maxLength="100">
              <x14:cfvo type="autoMin"/>
              <x14:cfvo type="formula">
                <xm:f>DATEDIF(DATE(CalendrierAnnée,2,1),DATE(CalendrierAnnée,3,1),"d")</xm:f>
              </x14:cfvo>
              <x14:negativeFillColor rgb="FFFF0000"/>
              <x14:axisColor rgb="FF000000"/>
            </x14:dataBar>
          </x14:cfRule>
          <xm:sqref>AG5:AG10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E2F1D0E8E87468B289CB57281B996" ma:contentTypeVersion="1" ma:contentTypeDescription="Create a new document." ma:contentTypeScope="" ma:versionID="62a345c190c3e02e35f6075a6cd279fe">
  <xsd:schema xmlns:xsd="http://www.w3.org/2001/XMLSchema" xmlns:xs="http://www.w3.org/2001/XMLSchema" xmlns:p="http://schemas.microsoft.com/office/2006/metadata/properties" xmlns:ns2="aac074f3-af53-40eb-acd1-e8ca9658e9e1" targetNamespace="http://schemas.microsoft.com/office/2006/metadata/properties" ma:root="true" ma:fieldsID="6e89e516250c3f4b948741447e1442ad" ns2:_="">
    <xsd:import namespace="aac074f3-af53-40eb-acd1-e8ca9658e9e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074f3-af53-40eb-acd1-e8ca9658e9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282CFA-8FBC-4C9E-B212-C3DCBFFBB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c074f3-af53-40eb-acd1-e8ca9658e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806531-3A3B-4F3D-B626-5CC4D92F8D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298525-5753-4468-AB25-522022B2FC80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aac074f3-af53-40eb-acd1-e8ca9658e9e1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23</vt:i4>
      </vt:variant>
    </vt:vector>
  </HeadingPairs>
  <TitlesOfParts>
    <vt:vector size="35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CalendrierAnnée</vt:lpstr>
      <vt:lpstr>CléCongés</vt:lpstr>
      <vt:lpstr>CléMaladie</vt:lpstr>
      <vt:lpstr>CléPersonnalisée1</vt:lpstr>
      <vt:lpstr>CléPersonnalisée2</vt:lpstr>
      <vt:lpstr>CléPersonnelle</vt:lpstr>
      <vt:lpstr>ÉtiquetteCléCongés</vt:lpstr>
      <vt:lpstr>ÉtiquetteCléMaladie</vt:lpstr>
      <vt:lpstr>ÉtiquetteCléPersonnalisée1</vt:lpstr>
      <vt:lpstr>ÉtiquetteCléPersonnalisée2</vt:lpstr>
      <vt:lpstr>ÉtiquetteCléPersonnelle</vt:lpstr>
      <vt:lpstr>Août!NomMois</vt:lpstr>
      <vt:lpstr>Avril!NomMois</vt:lpstr>
      <vt:lpstr>Décembre!NomMois</vt:lpstr>
      <vt:lpstr>Février!NomMois</vt:lpstr>
      <vt:lpstr>Janvier!NomMois</vt:lpstr>
      <vt:lpstr>Juillet!NomMois</vt:lpstr>
      <vt:lpstr>Juin!NomMois</vt:lpstr>
      <vt:lpstr>Mai!NomMois</vt:lpstr>
      <vt:lpstr>Mars!NomMois</vt:lpstr>
      <vt:lpstr>Novembre!NomMois</vt:lpstr>
      <vt:lpstr>Octobre!NomMois</vt:lpstr>
      <vt:lpstr>Septembre!NomMois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2014-08-06T14:30:25Z</dcterms:created>
  <dcterms:modified xsi:type="dcterms:W3CDTF">2023-03-06T15:37:32Z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0x010100B03E2F1D0E8E87468B289CB57281B996</vt:lpwstr>
  </property>
</Properties>
</file>