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8_{689CA4C8-BDE3-4E59-8E8D-54B744902FC6}" xr6:coauthVersionLast="47" xr6:coauthVersionMax="47" xr10:uidLastSave="{00000000-0000-0000-0000-000000000000}"/>
  <bookViews>
    <workbookView xWindow="-120" yWindow="-120" windowWidth="29040" windowHeight="17640" tabRatio="686" activeTab="8" xr2:uid="{00000000-000D-0000-FFFF-FFFF00000000}"/>
  </bookViews>
  <sheets>
    <sheet name="Janvier" sheetId="4" r:id="rId1"/>
    <sheet name="Février" sheetId="5" r:id="rId2"/>
    <sheet name="Mars" sheetId="6" r:id="rId3"/>
    <sheet name="Avril" sheetId="7" r:id="rId4"/>
    <sheet name="Mai" sheetId="8" r:id="rId5"/>
    <sheet name="Juin" sheetId="9" r:id="rId6"/>
    <sheet name="Juillet" sheetId="10" r:id="rId7"/>
    <sheet name="Août" sheetId="11" r:id="rId8"/>
    <sheet name="Septembre" sheetId="12" r:id="rId9"/>
    <sheet name="Octobre" sheetId="14" r:id="rId10"/>
    <sheet name="Novembre" sheetId="13" r:id="rId11"/>
    <sheet name="Décembre" sheetId="15" r:id="rId12"/>
  </sheets>
  <definedNames>
    <definedName name="CalendrierAnnée">Janvier!$AG$2</definedName>
    <definedName name="CléCongés">Janvier!$G$12</definedName>
    <definedName name="CléMaladie">Janvier!$O$12</definedName>
    <definedName name="CléPersonnalisée1">Janvier!$S$12</definedName>
    <definedName name="CléPersonnalisée2">Janvier!$W$12</definedName>
    <definedName name="CléPersonnelle">Janvier!$K$12</definedName>
    <definedName name="ÉtiquetteCléCongés">Janvier!$H$12</definedName>
    <definedName name="ÉtiquetteCléMaladie">Janvier!$P$12</definedName>
    <definedName name="ÉtiquetteCléPersonnalisée1">Janvier!$T$12</definedName>
    <definedName name="ÉtiquetteCléPersonnalisée2">Janvier!$X$12</definedName>
    <definedName name="ÉtiquetteCléPersonnelle">Janvier!$L$12</definedName>
    <definedName name="NomMois" localSheetId="7">Août!$A$2</definedName>
    <definedName name="NomMois" localSheetId="3">Avril!$A$2</definedName>
    <definedName name="NomMois" localSheetId="11">Décembre!$A$2</definedName>
    <definedName name="NomMois" localSheetId="1">Février!$A$2</definedName>
    <definedName name="NomMois" localSheetId="0">Janvier!$A$2</definedName>
    <definedName name="NomMois" localSheetId="6">Juillet!$A$2</definedName>
    <definedName name="NomMois" localSheetId="5">Juin!$A$2</definedName>
    <definedName name="NomMois" localSheetId="4">Mai!$A$2</definedName>
    <definedName name="NomMois" localSheetId="2">Mars!$A$2</definedName>
    <definedName name="NomMois" localSheetId="10">Novembre!$A$2</definedName>
    <definedName name="NomMois" localSheetId="9">Octobre!$A$2</definedName>
    <definedName name="NomMois" localSheetId="8">Septembre!$A$2</definedName>
  </definedNames>
  <calcPr calcId="191029"/>
</workbook>
</file>

<file path=xl/calcChain.xml><?xml version="1.0" encoding="utf-8"?>
<calcChain xmlns="http://schemas.openxmlformats.org/spreadsheetml/2006/main">
  <c r="X12" i="13" l="1"/>
  <c r="AG10" i="15"/>
  <c r="AG10" i="14"/>
  <c r="AG10" i="12"/>
  <c r="AG10" i="11"/>
  <c r="AG10" i="10"/>
  <c r="AG10" i="9"/>
  <c r="AG10" i="8"/>
  <c r="AG10" i="7"/>
  <c r="AG10" i="6"/>
  <c r="AG10" i="5"/>
  <c r="AG10" i="4"/>
  <c r="AG10" i="13"/>
  <c r="AG5" i="7" l="1"/>
  <c r="AG6" i="7"/>
  <c r="AG7" i="7"/>
  <c r="AG8" i="7"/>
  <c r="AG9" i="7"/>
  <c r="B3" i="4" l="1"/>
  <c r="Z3" i="7" l="1"/>
  <c r="AD3" i="5"/>
  <c r="AF3" i="15" l="1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B3" i="15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B3" i="13"/>
  <c r="AF3" i="14"/>
  <c r="AE3" i="14"/>
  <c r="AD3" i="14"/>
  <c r="AC3" i="14"/>
  <c r="AB3" i="14"/>
  <c r="AA3" i="14"/>
  <c r="Z3" i="14"/>
  <c r="Y3" i="14"/>
  <c r="X3" i="14"/>
  <c r="W3" i="14"/>
  <c r="V3" i="14"/>
  <c r="U3" i="14"/>
  <c r="T3" i="14"/>
  <c r="S3" i="14"/>
  <c r="R3" i="14"/>
  <c r="Q3" i="14"/>
  <c r="P3" i="14"/>
  <c r="O3" i="14"/>
  <c r="N3" i="14"/>
  <c r="M3" i="14"/>
  <c r="L3" i="14"/>
  <c r="K3" i="14"/>
  <c r="J3" i="14"/>
  <c r="I3" i="14"/>
  <c r="H3" i="14"/>
  <c r="G3" i="14"/>
  <c r="F3" i="14"/>
  <c r="E3" i="14"/>
  <c r="D3" i="14"/>
  <c r="C3" i="14"/>
  <c r="B3" i="14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E3" i="7"/>
  <c r="AD3" i="7"/>
  <c r="AC3" i="7"/>
  <c r="AB3" i="7"/>
  <c r="AA3" i="7"/>
  <c r="Y3" i="7"/>
  <c r="X3" i="7"/>
  <c r="W3" i="7"/>
  <c r="V3" i="7"/>
  <c r="U3" i="7"/>
  <c r="T3" i="7"/>
  <c r="S3" i="7"/>
  <c r="R3" i="7"/>
  <c r="Q3" i="7"/>
  <c r="P3" i="7"/>
  <c r="N3" i="7"/>
  <c r="O3" i="7"/>
  <c r="M3" i="7"/>
  <c r="L3" i="7"/>
  <c r="K3" i="7"/>
  <c r="J3" i="7"/>
  <c r="I3" i="7"/>
  <c r="H3" i="7"/>
  <c r="G3" i="7"/>
  <c r="F3" i="7"/>
  <c r="E3" i="7"/>
  <c r="D3" i="7"/>
  <c r="C3" i="7"/>
  <c r="B3" i="7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C3" i="5" l="1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W12" i="6" l="1"/>
  <c r="W12" i="7"/>
  <c r="W12" i="8"/>
  <c r="W12" i="9"/>
  <c r="W12" i="10"/>
  <c r="W12" i="11"/>
  <c r="W12" i="12"/>
  <c r="W12" i="14"/>
  <c r="W12" i="15"/>
  <c r="W12" i="5"/>
  <c r="S12" i="6"/>
  <c r="S12" i="7"/>
  <c r="S12" i="8"/>
  <c r="S12" i="9"/>
  <c r="S12" i="10"/>
  <c r="S12" i="11"/>
  <c r="S12" i="12"/>
  <c r="S12" i="14"/>
  <c r="S12" i="13"/>
  <c r="S12" i="15"/>
  <c r="S12" i="5"/>
  <c r="X12" i="6" l="1"/>
  <c r="X12" i="7"/>
  <c r="X12" i="8"/>
  <c r="X12" i="9"/>
  <c r="X12" i="10"/>
  <c r="X12" i="11"/>
  <c r="X12" i="12"/>
  <c r="X12" i="14"/>
  <c r="X12" i="15"/>
  <c r="X12" i="5"/>
  <c r="T12" i="6"/>
  <c r="T12" i="7"/>
  <c r="T12" i="8"/>
  <c r="T12" i="9"/>
  <c r="T12" i="10"/>
  <c r="T12" i="11"/>
  <c r="T12" i="12"/>
  <c r="T12" i="14"/>
  <c r="T12" i="13"/>
  <c r="T12" i="15"/>
  <c r="T12" i="5"/>
  <c r="P12" i="6"/>
  <c r="P12" i="7"/>
  <c r="P12" i="8"/>
  <c r="P12" i="9"/>
  <c r="P12" i="10"/>
  <c r="P12" i="11"/>
  <c r="P12" i="12"/>
  <c r="P12" i="14"/>
  <c r="P12" i="13"/>
  <c r="P12" i="15"/>
  <c r="P12" i="5"/>
  <c r="L12" i="6"/>
  <c r="L12" i="7"/>
  <c r="L12" i="8"/>
  <c r="L12" i="9"/>
  <c r="L12" i="10"/>
  <c r="L12" i="11"/>
  <c r="L12" i="12"/>
  <c r="L12" i="14"/>
  <c r="L12" i="13"/>
  <c r="L12" i="15"/>
  <c r="L12" i="5"/>
  <c r="H12" i="6"/>
  <c r="H12" i="7"/>
  <c r="H12" i="8"/>
  <c r="H12" i="9"/>
  <c r="H12" i="10"/>
  <c r="H12" i="11"/>
  <c r="H12" i="12"/>
  <c r="H12" i="14"/>
  <c r="H12" i="13"/>
  <c r="H12" i="15"/>
  <c r="H12" i="5"/>
  <c r="O12" i="7"/>
  <c r="O12" i="8"/>
  <c r="O12" i="9"/>
  <c r="O12" i="10"/>
  <c r="O12" i="11"/>
  <c r="O12" i="12"/>
  <c r="O12" i="14"/>
  <c r="O12" i="13"/>
  <c r="O12" i="15"/>
  <c r="O12" i="6"/>
  <c r="K12" i="7"/>
  <c r="K12" i="8"/>
  <c r="K12" i="9"/>
  <c r="K12" i="10"/>
  <c r="K12" i="11"/>
  <c r="K12" i="12"/>
  <c r="K12" i="14"/>
  <c r="K12" i="13"/>
  <c r="K12" i="15"/>
  <c r="K12" i="6"/>
  <c r="G12" i="7"/>
  <c r="G12" i="8"/>
  <c r="G12" i="9"/>
  <c r="G12" i="10"/>
  <c r="G12" i="11"/>
  <c r="G12" i="12"/>
  <c r="G12" i="14"/>
  <c r="G12" i="13"/>
  <c r="G12" i="15"/>
  <c r="G12" i="6"/>
  <c r="G12" i="5"/>
  <c r="K12" i="5"/>
  <c r="O12" i="5"/>
  <c r="B12" i="15" l="1"/>
  <c r="AG9" i="15"/>
  <c r="AG8" i="15"/>
  <c r="AG7" i="15"/>
  <c r="AG6" i="15"/>
  <c r="AG5" i="15"/>
  <c r="AG2" i="15"/>
  <c r="B12" i="14"/>
  <c r="AG9" i="14"/>
  <c r="AG8" i="14"/>
  <c r="AG7" i="14"/>
  <c r="AG6" i="14"/>
  <c r="AG5" i="14"/>
  <c r="AG2" i="14"/>
  <c r="B12" i="13"/>
  <c r="AG9" i="13"/>
  <c r="AG8" i="13"/>
  <c r="AG7" i="13"/>
  <c r="AG6" i="13"/>
  <c r="AG5" i="13"/>
  <c r="AG2" i="13"/>
  <c r="B12" i="12"/>
  <c r="AG9" i="12"/>
  <c r="AG8" i="12"/>
  <c r="AG7" i="12"/>
  <c r="AG6" i="12"/>
  <c r="AG5" i="12"/>
  <c r="AG2" i="12"/>
  <c r="B12" i="11"/>
  <c r="AG9" i="11"/>
  <c r="AG8" i="11"/>
  <c r="AG7" i="11"/>
  <c r="AG6" i="11"/>
  <c r="AG5" i="11"/>
  <c r="AG2" i="11"/>
  <c r="B12" i="10"/>
  <c r="AG9" i="10"/>
  <c r="AG8" i="10"/>
  <c r="AG7" i="10"/>
  <c r="AG6" i="10"/>
  <c r="AG5" i="10"/>
  <c r="AG2" i="10"/>
  <c r="B12" i="9"/>
  <c r="AG9" i="9"/>
  <c r="AG8" i="9"/>
  <c r="AG7" i="9"/>
  <c r="AG6" i="9"/>
  <c r="AG5" i="9"/>
  <c r="AG2" i="9"/>
  <c r="B12" i="8"/>
  <c r="AG9" i="8"/>
  <c r="AG8" i="8"/>
  <c r="AG7" i="8"/>
  <c r="AG6" i="8"/>
  <c r="AG5" i="8"/>
  <c r="AG2" i="8"/>
  <c r="B12" i="7"/>
  <c r="AG2" i="7"/>
  <c r="B12" i="6"/>
  <c r="AG9" i="6"/>
  <c r="AG8" i="6"/>
  <c r="AG7" i="6"/>
  <c r="AG6" i="6"/>
  <c r="AG5" i="6"/>
  <c r="AG2" i="6"/>
  <c r="AG9" i="5" l="1"/>
  <c r="AG8" i="5"/>
  <c r="AG7" i="5"/>
  <c r="B12" i="5"/>
  <c r="AG2" i="5"/>
  <c r="AG9" i="4"/>
  <c r="AG8" i="4"/>
  <c r="AG7" i="4"/>
  <c r="AG6" i="5"/>
  <c r="AG5" i="5"/>
  <c r="AG5" i="4" l="1"/>
  <c r="AG6" i="4"/>
</calcChain>
</file>

<file path=xl/sharedStrings.xml><?xml version="1.0" encoding="utf-8"?>
<sst xmlns="http://schemas.openxmlformats.org/spreadsheetml/2006/main" count="744" uniqueCount="87">
  <si>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</si>
  <si>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</si>
  <si>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</si>
  <si>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</si>
  <si>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</si>
  <si>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</si>
  <si>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</si>
  <si>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</si>
  <si>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</si>
  <si>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</si>
  <si>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</si>
  <si>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</si>
  <si>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</si>
  <si>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</si>
  <si>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</si>
  <si>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</si>
  <si>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</si>
  <si>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</si>
  <si>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</si>
  <si>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</si>
  <si>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</si>
  <si>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</si>
  <si>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</si>
  <si>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</si>
  <si>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</si>
  <si>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</si>
  <si>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</si>
  <si>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</si>
  <si>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</si>
  <si>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</si>
  <si>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</si>
  <si>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Nombre total de jours</t>
  </si>
  <si>
    <t>M</t>
  </si>
  <si>
    <t xml:space="preserve"> </t>
  </si>
  <si>
    <t xml:space="preserve">  </t>
  </si>
  <si>
    <t>Janvier</t>
  </si>
  <si>
    <t>Personnalisé 2</t>
  </si>
  <si>
    <t>Clé de couleur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</si>
  <si>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</si>
  <si>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</si>
  <si>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</si>
  <si>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</si>
  <si>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</si>
  <si>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</si>
  <si>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</si>
  <si>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</si>
  <si>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</si>
  <si>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</si>
  <si>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</si>
  <si>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25m précision</t>
  </si>
  <si>
    <t>25m vitesse</t>
  </si>
  <si>
    <t>25m gong</t>
  </si>
  <si>
    <t>50/100m</t>
  </si>
  <si>
    <t>200m</t>
  </si>
  <si>
    <t>Planification des réservations des pas de tir</t>
  </si>
  <si>
    <t>Pas de tir</t>
  </si>
  <si>
    <t>Matin</t>
  </si>
  <si>
    <t>après-midi</t>
  </si>
  <si>
    <t>journée</t>
  </si>
  <si>
    <t>nuit</t>
  </si>
  <si>
    <t xml:space="preserve">    Ball trap</t>
  </si>
  <si>
    <t>AM</t>
  </si>
  <si>
    <t>J</t>
  </si>
  <si>
    <t>N</t>
  </si>
  <si>
    <t xml:space="preserve">Planification des réservations des pas de tir </t>
  </si>
  <si>
    <t>Concours Silhouettes</t>
  </si>
  <si>
    <t>PM Velaux</t>
  </si>
  <si>
    <t>Pénitentiaire Lyon</t>
  </si>
  <si>
    <t>Pénitentiaire  Lyon</t>
  </si>
  <si>
    <t>Bench rest</t>
  </si>
  <si>
    <t>T.A.R.</t>
  </si>
  <si>
    <t>Fun tir</t>
  </si>
  <si>
    <t>Championnat de France</t>
  </si>
  <si>
    <t>Administration</t>
  </si>
  <si>
    <t>j</t>
  </si>
  <si>
    <t xml:space="preserve">                          Pas de tir 200 mètres fermé pour travaux </t>
  </si>
  <si>
    <t>Pénit, Salon Pce</t>
  </si>
  <si>
    <t>Travaux</t>
  </si>
  <si>
    <t>TRAVAUX</t>
  </si>
  <si>
    <t xml:space="preserve">Pénitentiaire Lyon </t>
  </si>
  <si>
    <t>fun tir</t>
  </si>
  <si>
    <t>Pénitentiaire de Lyon</t>
  </si>
  <si>
    <t>Amical TAR</t>
  </si>
  <si>
    <t>IPSC</t>
  </si>
  <si>
    <t>PM COUDOUX</t>
  </si>
  <si>
    <t>PM La Fare</t>
  </si>
  <si>
    <t>Dep, Hunter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</si>
</sst>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;0;"/>
  </numFmts>
  <fonts count="24" x14ac:knownFonts="1">
    <font>
      <sz val="11"/>
      <color theme="1"/>
      <name val="Corbel"/>
      <family val="2"/>
      <scheme val="minor"/>
    </font>
    <font>
      <sz val="10"/>
      <name val="Century Gothic"/>
      <family val="2"/>
    </font>
    <font>
      <b/>
      <sz val="12"/>
      <name val="Arial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0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2"/>
      <name val="Corbel"/>
      <family val="2"/>
      <scheme val="major"/>
    </font>
    <font>
      <b/>
      <sz val="26"/>
      <color theme="3"/>
      <name val="Corbel"/>
      <family val="2"/>
      <scheme val="major"/>
    </font>
    <font>
      <sz val="9"/>
      <name val="Corbel"/>
      <family val="2"/>
      <scheme val="minor"/>
    </font>
    <font>
      <sz val="18"/>
      <color theme="3"/>
      <name val="Corbel"/>
      <family val="2"/>
      <scheme val="minor"/>
    </font>
    <font>
      <sz val="11"/>
      <color theme="1"/>
      <name val="Corbel"/>
      <family val="2"/>
      <scheme val="major"/>
    </font>
    <font>
      <sz val="10"/>
      <name val="Corbel"/>
      <family val="2"/>
      <scheme val="major"/>
    </font>
    <font>
      <b/>
      <sz val="18"/>
      <color theme="4" tint="-0.249977111117893"/>
      <name val="Corbel"/>
      <family val="2"/>
      <scheme val="major"/>
    </font>
    <font>
      <b/>
      <sz val="16"/>
      <color theme="4" tint="-0.249977111117893"/>
      <name val="Corbel"/>
      <family val="2"/>
      <scheme val="major"/>
    </font>
    <font>
      <b/>
      <sz val="18"/>
      <color theme="4" tint="-0.249977111117893"/>
      <name val="Corbel"/>
      <family val="2"/>
      <scheme val="minor"/>
    </font>
    <font>
      <sz val="10.5"/>
      <color theme="1"/>
      <name val="Corbel"/>
      <family val="2"/>
      <scheme val="minor"/>
    </font>
    <font>
      <b/>
      <i/>
      <strike/>
      <condense/>
      <extend/>
      <outline/>
      <shadow/>
      <sz val="11"/>
      <color theme="1"/>
      <name val="Corbel"/>
      <family val="2"/>
      <scheme val="minor"/>
    </font>
    <font>
      <outline/>
      <shadow/>
      <sz val="11"/>
      <color theme="1"/>
      <name val="Corbel"/>
      <family val="2"/>
      <scheme val="minor"/>
    </font>
    <font>
      <sz val="11"/>
      <color theme="1"/>
      <name val="Arial"/>
      <family val="2"/>
    </font>
    <font>
      <b/>
      <i/>
      <condense/>
      <extend/>
      <outline/>
      <shadow/>
      <sz val="11"/>
      <color theme="1"/>
      <name val="Corbel"/>
      <family val="2"/>
      <scheme val="minor"/>
    </font>
    <font>
      <b/>
      <outline/>
      <shadow/>
      <sz val="11"/>
      <color theme="1"/>
      <name val="Corbe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right" indent="2"/>
    </xf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164" fontId="7" fillId="5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Alignment="1">
      <alignment horizontal="center" vertical="center"/>
    </xf>
    <xf numFmtId="164" fontId="7" fillId="7" borderId="0" xfId="0" applyNumberFormat="1" applyFont="1" applyFill="1" applyAlignment="1">
      <alignment horizontal="center" vertical="center"/>
    </xf>
    <xf numFmtId="164" fontId="7" fillId="8" borderId="0" xfId="0" applyNumberFormat="1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49" fontId="10" fillId="0" borderId="0" xfId="1" applyNumberFormat="1" applyFill="1" applyBorder="1" applyAlignment="1">
      <alignment vertical="top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49" fontId="0" fillId="0" borderId="0" xfId="0" applyNumberFormat="1" applyAlignment="1">
      <alignment horizontal="left" vertical="center" indent="1"/>
    </xf>
    <xf numFmtId="164" fontId="0" fillId="9" borderId="0" xfId="0" applyNumberFormat="1" applyFill="1" applyAlignment="1">
      <alignment horizontal="left" vertical="center"/>
    </xf>
    <xf numFmtId="0" fontId="1" fillId="9" borderId="0" xfId="0" applyFont="1" applyFill="1" applyAlignment="1">
      <alignment vertical="center"/>
    </xf>
    <xf numFmtId="164" fontId="0" fillId="9" borderId="0" xfId="0" applyNumberFormat="1" applyFill="1" applyAlignment="1">
      <alignment horizontal="center" vertical="center"/>
    </xf>
    <xf numFmtId="164" fontId="8" fillId="10" borderId="0" xfId="0" applyNumberFormat="1" applyFont="1" applyFill="1" applyAlignment="1">
      <alignment vertical="center"/>
    </xf>
    <xf numFmtId="164" fontId="0" fillId="10" borderId="0" xfId="0" applyNumberFormat="1" applyFill="1" applyAlignment="1">
      <alignment horizontal="center" vertical="center"/>
    </xf>
    <xf numFmtId="164" fontId="18" fillId="9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 vertical="center" wrapText="1" indent="2"/>
    </xf>
    <xf numFmtId="0" fontId="21" fillId="0" borderId="0" xfId="0" applyFont="1" applyAlignment="1">
      <alignment horizontal="left" vertical="center" indent="1"/>
    </xf>
    <xf numFmtId="49" fontId="13" fillId="0" borderId="0" xfId="0" applyNumberFormat="1" applyFont="1" applyAlignment="1">
      <alignment horizontal="left" vertical="center" indent="1"/>
    </xf>
    <xf numFmtId="164" fontId="7" fillId="11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left"/>
    </xf>
    <xf numFmtId="0" fontId="0" fillId="0" borderId="6" xfId="0" applyBorder="1"/>
    <xf numFmtId="0" fontId="1" fillId="0" borderId="6" xfId="0" applyFont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" fontId="15" fillId="2" borderId="0" xfId="0" applyNumberFormat="1" applyFont="1" applyFill="1" applyAlignment="1">
      <alignment horizontal="left" vertical="center" indent="1"/>
    </xf>
    <xf numFmtId="0" fontId="17" fillId="2" borderId="0" xfId="2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center"/>
    </xf>
    <xf numFmtId="0" fontId="17" fillId="2" borderId="0" xfId="2" applyFont="1" applyFill="1" applyBorder="1" applyAlignment="1">
      <alignment horizontal="right" vertical="center" inden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</cellXfs>
  <cellStyles count="5">
    <cellStyle name="Normal" xfId="0" builtinId="0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</cellStyles>
  <dxfs count="843"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border>
        <vertical/>
        <horizontal/>
      </border>
    </dxf>
    <dxf>
      <font>
        <color theme="0"/>
      </font>
      <border>
        <vertical/>
        <horizontal/>
      </border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left" vertical="center" textRotation="0" wrapText="1" indent="2" justifyLastLine="0" shrinkToFit="0" readingOrder="0"/>
    </dxf>
    <dxf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3743705557422"/>
        </top>
        <bottom style="thin">
          <color theme="0" tint="-0.14996795556505021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2" tint="-0.24994659260841701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4" tint="-0.249977111117893"/>
      </font>
      <border diagonalUp="0" diagonalDown="0">
        <left/>
        <right/>
        <top/>
        <bottom/>
        <vertical style="thin">
          <color theme="0"/>
        </vertical>
        <horizontal/>
      </border>
    </dxf>
  </dxfs>
  <tableStyles count="1" defaultTableStyle="TableStyleMedium2" defaultPivotStyle="PivotStyleLight16">
    <tableStyle name="Employee Absence Table" pivot="0" count="13" xr9:uid="{00000000-0011-0000-FFFF-FFFF00000000}">
      <tableStyleElement type="wholeTable" dxfId="842"/>
      <tableStyleElement type="headerRow" dxfId="841"/>
      <tableStyleElement type="totalRow" dxfId="840"/>
      <tableStyleElement type="firstColumn" dxfId="839"/>
      <tableStyleElement type="lastColumn" dxfId="838"/>
      <tableStyleElement type="firstRowStripe" dxfId="837"/>
      <tableStyleElement type="secondRowStripe" dxfId="836"/>
      <tableStyleElement type="firstColumnStripe" dxfId="835"/>
      <tableStyleElement type="secondColumnStripe" dxfId="834"/>
      <tableStyleElement type="firstHeaderCell" dxfId="833"/>
      <tableStyleElement type="lastHeaderCell" dxfId="832"/>
      <tableStyleElement type="firstTotalCell" dxfId="831"/>
      <tableStyleElement type="lastTotalCell" dxfId="8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476250</xdr:colOff>
      <xdr:row>0</xdr:row>
      <xdr:rowOff>600075</xdr:rowOff>
    </xdr:from>
    <xdr:to>
      <xdr:col>33</xdr:col>
      <xdr:colOff>552450</xdr:colOff>
      <xdr:row>1</xdr:row>
      <xdr:rowOff>171450</xdr:rowOff>
    </xdr:to>
    <xdr:sp macro="" textlink="">
      <xdr:nvSpPr>
        <xdr:cNvPr id="3" name="Note d’entrée de données" descr="Entrer l’année : tapez l’année dans la cellule AG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391775" y="600075"/>
          <a:ext cx="14478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chemeClr val="accent1">
                  <a:lumMod val="75000"/>
                </a:schemeClr>
              </a:solidFill>
            </a:rPr>
            <a:t>Entrer l’année :	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blJanvier" displayName="tblJanvier" ref="A4:AG10" totalsRowShown="0">
  <tableColumns count="33">
    <tableColumn id="1" xr3:uid="{00000000-0010-0000-0000-000001000000}" name="Pas de tir" dataDxfId="829"/>
    <tableColumn id="2" xr3:uid="{00000000-0010-0000-0000-000002000000}" name="1" dataDxfId="828" totalsRowDxfId="827"/>
    <tableColumn id="3" xr3:uid="{00000000-0010-0000-0000-000003000000}" name="2" dataDxfId="826" totalsRowDxfId="825"/>
    <tableColumn id="4" xr3:uid="{00000000-0010-0000-0000-000004000000}" name="3" dataDxfId="824" totalsRowDxfId="823"/>
    <tableColumn id="5" xr3:uid="{00000000-0010-0000-0000-000005000000}" name="4" dataDxfId="822" totalsRowDxfId="821"/>
    <tableColumn id="6" xr3:uid="{00000000-0010-0000-0000-000006000000}" name="5" dataDxfId="820" totalsRowDxfId="819"/>
    <tableColumn id="7" xr3:uid="{00000000-0010-0000-0000-000007000000}" name="6" dataDxfId="818" totalsRowDxfId="817"/>
    <tableColumn id="8" xr3:uid="{00000000-0010-0000-0000-000008000000}" name="7" dataDxfId="816" totalsRowDxfId="815"/>
    <tableColumn id="9" xr3:uid="{00000000-0010-0000-0000-000009000000}" name="8" dataDxfId="814" totalsRowDxfId="813"/>
    <tableColumn id="10" xr3:uid="{00000000-0010-0000-0000-00000A000000}" name="9" dataDxfId="812" totalsRowDxfId="811"/>
    <tableColumn id="11" xr3:uid="{00000000-0010-0000-0000-00000B000000}" name="10" dataDxfId="810" totalsRowDxfId="809"/>
    <tableColumn id="12" xr3:uid="{00000000-0010-0000-0000-00000C000000}" name="11" dataDxfId="808" totalsRowDxfId="807"/>
    <tableColumn id="13" xr3:uid="{00000000-0010-0000-0000-00000D000000}" name="12" dataDxfId="806" totalsRowDxfId="805"/>
    <tableColumn id="14" xr3:uid="{00000000-0010-0000-0000-00000E000000}" name="13" dataDxfId="804" totalsRowDxfId="803"/>
    <tableColumn id="15" xr3:uid="{00000000-0010-0000-0000-00000F000000}" name="14" dataDxfId="802" totalsRowDxfId="801"/>
    <tableColumn id="16" xr3:uid="{00000000-0010-0000-0000-000010000000}" name="15" dataDxfId="800" totalsRowDxfId="799"/>
    <tableColumn id="17" xr3:uid="{00000000-0010-0000-0000-000011000000}" name="16" dataDxfId="798" totalsRowDxfId="797"/>
    <tableColumn id="18" xr3:uid="{00000000-0010-0000-0000-000012000000}" name="17" dataDxfId="796" totalsRowDxfId="795"/>
    <tableColumn id="19" xr3:uid="{00000000-0010-0000-0000-000013000000}" name="18" dataDxfId="794" totalsRowDxfId="793"/>
    <tableColumn id="20" xr3:uid="{00000000-0010-0000-0000-000014000000}" name="19" dataDxfId="792" totalsRowDxfId="791"/>
    <tableColumn id="21" xr3:uid="{00000000-0010-0000-0000-000015000000}" name="20" dataDxfId="790" totalsRowDxfId="789"/>
    <tableColumn id="22" xr3:uid="{00000000-0010-0000-0000-000016000000}" name="21" dataDxfId="788" totalsRowDxfId="787"/>
    <tableColumn id="23" xr3:uid="{00000000-0010-0000-0000-000017000000}" name="22" dataDxfId="786" totalsRowDxfId="785"/>
    <tableColumn id="24" xr3:uid="{00000000-0010-0000-0000-000018000000}" name="23" dataDxfId="784" totalsRowDxfId="783"/>
    <tableColumn id="25" xr3:uid="{00000000-0010-0000-0000-000019000000}" name="24" dataDxfId="782" totalsRowDxfId="781"/>
    <tableColumn id="26" xr3:uid="{00000000-0010-0000-0000-00001A000000}" name="25" dataDxfId="780" totalsRowDxfId="779"/>
    <tableColumn id="27" xr3:uid="{00000000-0010-0000-0000-00001B000000}" name="26" dataDxfId="778" totalsRowDxfId="777"/>
    <tableColumn id="28" xr3:uid="{00000000-0010-0000-0000-00001C000000}" name="27" dataDxfId="776" totalsRowDxfId="775"/>
    <tableColumn id="29" xr3:uid="{00000000-0010-0000-0000-00001D000000}" name="28" dataDxfId="774" totalsRowDxfId="773"/>
    <tableColumn id="30" xr3:uid="{00000000-0010-0000-0000-00001E000000}" name="29" dataDxfId="772" totalsRowDxfId="771"/>
    <tableColumn id="31" xr3:uid="{00000000-0010-0000-0000-00001F000000}" name="30" dataDxfId="770" totalsRowDxfId="769"/>
    <tableColumn id="32" xr3:uid="{00000000-0010-0000-0000-000020000000}" name="31" dataDxfId="768" totalsRowDxfId="767"/>
    <tableColumn id="33" xr3:uid="{00000000-0010-0000-0000-000021000000}" name="Nombre total de jours" totalsRowDxfId="766">
      <calculatedColumnFormula>COUNTA(tblJanvier[[#This Row],[1]:[31]])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janvier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blOctobre" displayName="tblOctobre" ref="A4:AG10" totalsRowShown="0">
  <tableColumns count="33">
    <tableColumn id="1" xr3:uid="{00000000-0010-0000-0900-000001000000}" name="Pas de tir" dataDxfId="253"/>
    <tableColumn id="2" xr3:uid="{00000000-0010-0000-0900-000002000000}" name="1" dataDxfId="252" totalsRowDxfId="251"/>
    <tableColumn id="3" xr3:uid="{00000000-0010-0000-0900-000003000000}" name="2" dataDxfId="250" totalsRowDxfId="249"/>
    <tableColumn id="4" xr3:uid="{00000000-0010-0000-0900-000004000000}" name="3" dataDxfId="248" totalsRowDxfId="247"/>
    <tableColumn id="5" xr3:uid="{00000000-0010-0000-0900-000005000000}" name="4" dataDxfId="246" totalsRowDxfId="245"/>
    <tableColumn id="6" xr3:uid="{00000000-0010-0000-0900-000006000000}" name="5" dataDxfId="244" totalsRowDxfId="243"/>
    <tableColumn id="7" xr3:uid="{00000000-0010-0000-0900-000007000000}" name="6" dataDxfId="242" totalsRowDxfId="241"/>
    <tableColumn id="8" xr3:uid="{00000000-0010-0000-0900-000008000000}" name="7" dataDxfId="240" totalsRowDxfId="239"/>
    <tableColumn id="9" xr3:uid="{00000000-0010-0000-0900-000009000000}" name="8" dataDxfId="238" totalsRowDxfId="237"/>
    <tableColumn id="10" xr3:uid="{00000000-0010-0000-0900-00000A000000}" name="9" dataDxfId="236" totalsRowDxfId="235"/>
    <tableColumn id="11" xr3:uid="{00000000-0010-0000-0900-00000B000000}" name="10" dataDxfId="234" totalsRowDxfId="233"/>
    <tableColumn id="12" xr3:uid="{00000000-0010-0000-0900-00000C000000}" name="11" dataDxfId="232" totalsRowDxfId="231"/>
    <tableColumn id="13" xr3:uid="{00000000-0010-0000-0900-00000D000000}" name="12" dataDxfId="230" totalsRowDxfId="229"/>
    <tableColumn id="14" xr3:uid="{00000000-0010-0000-0900-00000E000000}" name="13" dataDxfId="228" totalsRowDxfId="227"/>
    <tableColumn id="15" xr3:uid="{00000000-0010-0000-0900-00000F000000}" name="14" dataDxfId="226" totalsRowDxfId="225"/>
    <tableColumn id="16" xr3:uid="{00000000-0010-0000-0900-000010000000}" name="15" dataDxfId="224" totalsRowDxfId="223"/>
    <tableColumn id="17" xr3:uid="{00000000-0010-0000-0900-000011000000}" name="16" dataDxfId="222" totalsRowDxfId="221"/>
    <tableColumn id="18" xr3:uid="{00000000-0010-0000-0900-000012000000}" name="17" dataDxfId="220" totalsRowDxfId="219"/>
    <tableColumn id="19" xr3:uid="{00000000-0010-0000-0900-000013000000}" name="18" dataDxfId="218" totalsRowDxfId="217"/>
    <tableColumn id="20" xr3:uid="{00000000-0010-0000-0900-000014000000}" name="19" dataDxfId="216" totalsRowDxfId="215"/>
    <tableColumn id="21" xr3:uid="{00000000-0010-0000-0900-000015000000}" name="20" dataDxfId="214" totalsRowDxfId="213"/>
    <tableColumn id="22" xr3:uid="{00000000-0010-0000-0900-000016000000}" name="21" dataDxfId="212" totalsRowDxfId="211"/>
    <tableColumn id="23" xr3:uid="{00000000-0010-0000-0900-000017000000}" name="22" dataDxfId="210" totalsRowDxfId="209"/>
    <tableColumn id="24" xr3:uid="{00000000-0010-0000-0900-000018000000}" name="23" dataDxfId="208" totalsRowDxfId="207"/>
    <tableColumn id="25" xr3:uid="{00000000-0010-0000-0900-000019000000}" name="24" dataDxfId="206" totalsRowDxfId="205"/>
    <tableColumn id="26" xr3:uid="{00000000-0010-0000-0900-00001A000000}" name="25" dataDxfId="204" totalsRowDxfId="203"/>
    <tableColumn id="27" xr3:uid="{00000000-0010-0000-0900-00001B000000}" name="26" dataDxfId="202" totalsRowDxfId="201"/>
    <tableColumn id="28" xr3:uid="{00000000-0010-0000-0900-00001C000000}" name="27" dataDxfId="200" totalsRowDxfId="199"/>
    <tableColumn id="29" xr3:uid="{00000000-0010-0000-0900-00001D000000}" name="28" dataDxfId="198" totalsRowDxfId="197"/>
    <tableColumn id="30" xr3:uid="{00000000-0010-0000-0900-00001E000000}" name="29" dataDxfId="196" totalsRowDxfId="195"/>
    <tableColumn id="31" xr3:uid="{00000000-0010-0000-0900-00001F000000}" name="30" dataDxfId="194" totalsRowDxfId="193"/>
    <tableColumn id="32" xr3:uid="{00000000-0010-0000-0900-000020000000}" name="31" dataDxfId="192" totalsRowDxfId="191"/>
    <tableColumn id="33" xr3:uid="{00000000-0010-0000-0900-000021000000}" name="Nombre total de jours" totalsRowDxfId="190">
      <calculatedColumnFormula>COUNTA(tblOctobre[[#This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octobre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A000000}" name="tblNovembre" displayName="tblNovembre" ref="A4:AG10" totalsRowShown="0">
  <tableColumns count="33">
    <tableColumn id="1" xr3:uid="{00000000-0010-0000-0A00-000001000000}" name="Pas de tir" dataDxfId="189"/>
    <tableColumn id="2" xr3:uid="{00000000-0010-0000-0A00-000002000000}" name="1" dataDxfId="188" totalsRowDxfId="187"/>
    <tableColumn id="3" xr3:uid="{00000000-0010-0000-0A00-000003000000}" name="2" dataDxfId="186" totalsRowDxfId="185"/>
    <tableColumn id="4" xr3:uid="{00000000-0010-0000-0A00-000004000000}" name="3" dataDxfId="184" totalsRowDxfId="183"/>
    <tableColumn id="5" xr3:uid="{00000000-0010-0000-0A00-000005000000}" name="4" dataDxfId="182" totalsRowDxfId="181"/>
    <tableColumn id="6" xr3:uid="{00000000-0010-0000-0A00-000006000000}" name="5" dataDxfId="180" totalsRowDxfId="179"/>
    <tableColumn id="7" xr3:uid="{00000000-0010-0000-0A00-000007000000}" name="6" dataDxfId="178" totalsRowDxfId="177"/>
    <tableColumn id="8" xr3:uid="{00000000-0010-0000-0A00-000008000000}" name="7" dataDxfId="176" totalsRowDxfId="175"/>
    <tableColumn id="9" xr3:uid="{00000000-0010-0000-0A00-000009000000}" name="8" dataDxfId="174" totalsRowDxfId="173"/>
    <tableColumn id="10" xr3:uid="{00000000-0010-0000-0A00-00000A000000}" name="9" dataDxfId="172" totalsRowDxfId="171"/>
    <tableColumn id="11" xr3:uid="{00000000-0010-0000-0A00-00000B000000}" name="10" dataDxfId="170" totalsRowDxfId="169"/>
    <tableColumn id="12" xr3:uid="{00000000-0010-0000-0A00-00000C000000}" name="11" dataDxfId="168" totalsRowDxfId="167"/>
    <tableColumn id="13" xr3:uid="{00000000-0010-0000-0A00-00000D000000}" name="12" dataDxfId="166" totalsRowDxfId="165"/>
    <tableColumn id="14" xr3:uid="{00000000-0010-0000-0A00-00000E000000}" name="13" dataDxfId="164" totalsRowDxfId="163"/>
    <tableColumn id="15" xr3:uid="{00000000-0010-0000-0A00-00000F000000}" name="14" dataDxfId="162" totalsRowDxfId="161"/>
    <tableColumn id="16" xr3:uid="{00000000-0010-0000-0A00-000010000000}" name="15" dataDxfId="160" totalsRowDxfId="159"/>
    <tableColumn id="17" xr3:uid="{00000000-0010-0000-0A00-000011000000}" name="16" dataDxfId="158" totalsRowDxfId="157"/>
    <tableColumn id="18" xr3:uid="{00000000-0010-0000-0A00-000012000000}" name="17" dataDxfId="156" totalsRowDxfId="155"/>
    <tableColumn id="19" xr3:uid="{00000000-0010-0000-0A00-000013000000}" name="18" dataDxfId="154" totalsRowDxfId="153"/>
    <tableColumn id="20" xr3:uid="{00000000-0010-0000-0A00-000014000000}" name="19" dataDxfId="152" totalsRowDxfId="151"/>
    <tableColumn id="21" xr3:uid="{00000000-0010-0000-0A00-000015000000}" name="20" dataDxfId="150" totalsRowDxfId="149"/>
    <tableColumn id="22" xr3:uid="{00000000-0010-0000-0A00-000016000000}" name="21" dataDxfId="148" totalsRowDxfId="147"/>
    <tableColumn id="23" xr3:uid="{00000000-0010-0000-0A00-000017000000}" name="22" dataDxfId="146" totalsRowDxfId="145"/>
    <tableColumn id="24" xr3:uid="{00000000-0010-0000-0A00-000018000000}" name="23" dataDxfId="144" totalsRowDxfId="143"/>
    <tableColumn id="25" xr3:uid="{00000000-0010-0000-0A00-000019000000}" name="24" dataDxfId="142" totalsRowDxfId="141"/>
    <tableColumn id="26" xr3:uid="{00000000-0010-0000-0A00-00001A000000}" name="25" dataDxfId="140" totalsRowDxfId="139"/>
    <tableColumn id="27" xr3:uid="{00000000-0010-0000-0A00-00001B000000}" name="26" dataDxfId="138" totalsRowDxfId="137"/>
    <tableColumn id="28" xr3:uid="{00000000-0010-0000-0A00-00001C000000}" name="27" dataDxfId="136" totalsRowDxfId="135"/>
    <tableColumn id="29" xr3:uid="{00000000-0010-0000-0A00-00001D000000}" name="28" dataDxfId="134" totalsRowDxfId="133"/>
    <tableColumn id="30" xr3:uid="{00000000-0010-0000-0A00-00001E000000}" name="29" dataDxfId="132" totalsRowDxfId="131"/>
    <tableColumn id="31" xr3:uid="{00000000-0010-0000-0A00-00001F000000}" name="30" dataDxfId="130" totalsRowDxfId="129"/>
    <tableColumn id="32" xr3:uid="{00000000-0010-0000-0A00-000020000000}" name=" " dataDxfId="128" totalsRowDxfId="127"/>
    <tableColumn id="33" xr3:uid="{00000000-0010-0000-0A00-000021000000}" name="Nombre total de jours" totalsRowDxfId="126">
      <calculatedColumnFormula>COUNTA(tblNovembre[[#This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novembre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blDécembre" displayName="tblDécembre" ref="A4:AG10" totalsRowShown="0">
  <tableColumns count="33">
    <tableColumn id="1" xr3:uid="{00000000-0010-0000-0B00-000001000000}" name="Pas de tir" dataDxfId="125"/>
    <tableColumn id="2" xr3:uid="{00000000-0010-0000-0B00-000002000000}" name="1" dataDxfId="124" totalsRowDxfId="123"/>
    <tableColumn id="3" xr3:uid="{00000000-0010-0000-0B00-000003000000}" name="2" dataDxfId="122" totalsRowDxfId="121"/>
    <tableColumn id="4" xr3:uid="{00000000-0010-0000-0B00-000004000000}" name="3" dataDxfId="120" totalsRowDxfId="119"/>
    <tableColumn id="5" xr3:uid="{00000000-0010-0000-0B00-000005000000}" name="4" dataDxfId="118" totalsRowDxfId="117"/>
    <tableColumn id="6" xr3:uid="{00000000-0010-0000-0B00-000006000000}" name="5" dataDxfId="116" totalsRowDxfId="115"/>
    <tableColumn id="7" xr3:uid="{00000000-0010-0000-0B00-000007000000}" name="6" dataDxfId="114" totalsRowDxfId="113"/>
    <tableColumn id="8" xr3:uid="{00000000-0010-0000-0B00-000008000000}" name="7" dataDxfId="112" totalsRowDxfId="111"/>
    <tableColumn id="9" xr3:uid="{00000000-0010-0000-0B00-000009000000}" name="8" dataDxfId="110" totalsRowDxfId="109"/>
    <tableColumn id="10" xr3:uid="{00000000-0010-0000-0B00-00000A000000}" name="9" dataDxfId="108" totalsRowDxfId="107"/>
    <tableColumn id="11" xr3:uid="{00000000-0010-0000-0B00-00000B000000}" name="10" dataDxfId="106" totalsRowDxfId="105"/>
    <tableColumn id="12" xr3:uid="{00000000-0010-0000-0B00-00000C000000}" name="11" dataDxfId="104" totalsRowDxfId="103"/>
    <tableColumn id="13" xr3:uid="{00000000-0010-0000-0B00-00000D000000}" name="12" dataDxfId="102" totalsRowDxfId="101"/>
    <tableColumn id="14" xr3:uid="{00000000-0010-0000-0B00-00000E000000}" name="13" dataDxfId="100" totalsRowDxfId="99"/>
    <tableColumn id="15" xr3:uid="{00000000-0010-0000-0B00-00000F000000}" name="14" dataDxfId="98" totalsRowDxfId="97"/>
    <tableColumn id="16" xr3:uid="{00000000-0010-0000-0B00-000010000000}" name="15" dataDxfId="96" totalsRowDxfId="95"/>
    <tableColumn id="17" xr3:uid="{00000000-0010-0000-0B00-000011000000}" name="16" dataDxfId="94" totalsRowDxfId="93"/>
    <tableColumn id="18" xr3:uid="{00000000-0010-0000-0B00-000012000000}" name="17" dataDxfId="92" totalsRowDxfId="91"/>
    <tableColumn id="19" xr3:uid="{00000000-0010-0000-0B00-000013000000}" name="18" dataDxfId="90" totalsRowDxfId="89"/>
    <tableColumn id="20" xr3:uid="{00000000-0010-0000-0B00-000014000000}" name="19" dataDxfId="88" totalsRowDxfId="87"/>
    <tableColumn id="21" xr3:uid="{00000000-0010-0000-0B00-000015000000}" name="20" dataDxfId="86" totalsRowDxfId="85"/>
    <tableColumn id="22" xr3:uid="{00000000-0010-0000-0B00-000016000000}" name="21" dataDxfId="84" totalsRowDxfId="83"/>
    <tableColumn id="23" xr3:uid="{00000000-0010-0000-0B00-000017000000}" name="22" dataDxfId="82" totalsRowDxfId="81"/>
    <tableColumn id="24" xr3:uid="{00000000-0010-0000-0B00-000018000000}" name="23" dataDxfId="80" totalsRowDxfId="79"/>
    <tableColumn id="25" xr3:uid="{00000000-0010-0000-0B00-000019000000}" name="24" dataDxfId="78" totalsRowDxfId="77"/>
    <tableColumn id="26" xr3:uid="{00000000-0010-0000-0B00-00001A000000}" name="25" dataDxfId="76" totalsRowDxfId="75"/>
    <tableColumn id="27" xr3:uid="{00000000-0010-0000-0B00-00001B000000}" name="26" dataDxfId="74" totalsRowDxfId="73"/>
    <tableColumn id="28" xr3:uid="{00000000-0010-0000-0B00-00001C000000}" name="27" dataDxfId="72" totalsRowDxfId="71"/>
    <tableColumn id="29" xr3:uid="{00000000-0010-0000-0B00-00001D000000}" name="28" dataDxfId="70" totalsRowDxfId="69"/>
    <tableColumn id="30" xr3:uid="{00000000-0010-0000-0B00-00001E000000}" name="29" dataDxfId="68" totalsRowDxfId="67"/>
    <tableColumn id="31" xr3:uid="{00000000-0010-0000-0B00-00001F000000}" name="30" dataDxfId="66" totalsRowDxfId="65"/>
    <tableColumn id="32" xr3:uid="{00000000-0010-0000-0B00-000020000000}" name="31" dataDxfId="64" totalsRowDxfId="63"/>
    <tableColumn id="33" xr3:uid="{00000000-0010-0000-0B00-000021000000}" name="Nombre total de jours" totalsRowDxfId="62">
      <calculatedColumnFormula>COUNTA(tblDécembre[[#This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décembre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Février" displayName="tblFévrier" ref="A4:AG10" totalsRowShown="0">
  <tableColumns count="33">
    <tableColumn id="1" xr3:uid="{00000000-0010-0000-0100-000001000000}" name="Pas de tir" dataDxfId="765"/>
    <tableColumn id="2" xr3:uid="{00000000-0010-0000-0100-000002000000}" name="1" dataDxfId="764" totalsRowDxfId="763"/>
    <tableColumn id="3" xr3:uid="{00000000-0010-0000-0100-000003000000}" name="2" dataDxfId="762" totalsRowDxfId="761"/>
    <tableColumn id="4" xr3:uid="{00000000-0010-0000-0100-000004000000}" name="3" dataDxfId="760" totalsRowDxfId="759"/>
    <tableColumn id="5" xr3:uid="{00000000-0010-0000-0100-000005000000}" name="4" dataDxfId="758" totalsRowDxfId="757"/>
    <tableColumn id="6" xr3:uid="{00000000-0010-0000-0100-000006000000}" name="5" dataDxfId="756" totalsRowDxfId="755"/>
    <tableColumn id="7" xr3:uid="{00000000-0010-0000-0100-000007000000}" name="6" dataDxfId="754" totalsRowDxfId="753"/>
    <tableColumn id="8" xr3:uid="{00000000-0010-0000-0100-000008000000}" name="7" dataDxfId="752" totalsRowDxfId="751"/>
    <tableColumn id="9" xr3:uid="{00000000-0010-0000-0100-000009000000}" name="8" dataDxfId="750" totalsRowDxfId="749"/>
    <tableColumn id="10" xr3:uid="{00000000-0010-0000-0100-00000A000000}" name="9" dataDxfId="748" totalsRowDxfId="747"/>
    <tableColumn id="11" xr3:uid="{00000000-0010-0000-0100-00000B000000}" name="10" dataDxfId="746" totalsRowDxfId="745"/>
    <tableColumn id="12" xr3:uid="{00000000-0010-0000-0100-00000C000000}" name="11" dataDxfId="744" totalsRowDxfId="743"/>
    <tableColumn id="13" xr3:uid="{00000000-0010-0000-0100-00000D000000}" name="12" dataDxfId="742" totalsRowDxfId="741"/>
    <tableColumn id="14" xr3:uid="{00000000-0010-0000-0100-00000E000000}" name="13" dataDxfId="740" totalsRowDxfId="739"/>
    <tableColumn id="15" xr3:uid="{00000000-0010-0000-0100-00000F000000}" name="14" dataDxfId="738" totalsRowDxfId="737"/>
    <tableColumn id="16" xr3:uid="{00000000-0010-0000-0100-000010000000}" name="15" dataDxfId="736" totalsRowDxfId="735"/>
    <tableColumn id="17" xr3:uid="{00000000-0010-0000-0100-000011000000}" name="16" dataDxfId="734" totalsRowDxfId="733"/>
    <tableColumn id="18" xr3:uid="{00000000-0010-0000-0100-000012000000}" name="17" dataDxfId="732" totalsRowDxfId="731"/>
    <tableColumn id="19" xr3:uid="{00000000-0010-0000-0100-000013000000}" name="18" dataDxfId="730" totalsRowDxfId="729"/>
    <tableColumn id="20" xr3:uid="{00000000-0010-0000-0100-000014000000}" name="19" dataDxfId="728" totalsRowDxfId="727"/>
    <tableColumn id="21" xr3:uid="{00000000-0010-0000-0100-000015000000}" name="20" dataDxfId="726" totalsRowDxfId="725"/>
    <tableColumn id="22" xr3:uid="{00000000-0010-0000-0100-000016000000}" name="21" dataDxfId="724" totalsRowDxfId="723"/>
    <tableColumn id="23" xr3:uid="{00000000-0010-0000-0100-000017000000}" name="22" dataDxfId="722" totalsRowDxfId="721"/>
    <tableColumn id="24" xr3:uid="{00000000-0010-0000-0100-000018000000}" name="23" dataDxfId="720" totalsRowDxfId="719"/>
    <tableColumn id="25" xr3:uid="{00000000-0010-0000-0100-000019000000}" name="24" dataDxfId="718" totalsRowDxfId="717"/>
    <tableColumn id="26" xr3:uid="{00000000-0010-0000-0100-00001A000000}" name="25" dataDxfId="716" totalsRowDxfId="715"/>
    <tableColumn id="27" xr3:uid="{00000000-0010-0000-0100-00001B000000}" name="26" dataDxfId="714" totalsRowDxfId="713"/>
    <tableColumn id="28" xr3:uid="{00000000-0010-0000-0100-00001C000000}" name="27" dataDxfId="712" totalsRowDxfId="711"/>
    <tableColumn id="29" xr3:uid="{00000000-0010-0000-0100-00001D000000}" name="28" dataDxfId="710" totalsRowDxfId="709"/>
    <tableColumn id="30" xr3:uid="{00000000-0010-0000-0100-00001E000000}" name="29" dataDxfId="708" totalsRowDxfId="707"/>
    <tableColumn id="31" xr3:uid="{00000000-0010-0000-0100-00001F000000}" name=" " dataDxfId="706" totalsRowDxfId="705"/>
    <tableColumn id="32" xr3:uid="{00000000-0010-0000-0100-000020000000}" name="  " dataDxfId="704" totalsRowDxfId="703"/>
    <tableColumn id="33" xr3:uid="{00000000-0010-0000-0100-000021000000}" name="Nombre total de jours" totalsRowDxfId="702">
      <calculatedColumnFormula>COUNTA(tblFévrier[[#This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février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blMars" displayName="tblMars" ref="A4:AG10" totalsRowShown="0">
  <tableColumns count="33">
    <tableColumn id="1" xr3:uid="{00000000-0010-0000-0200-000001000000}" name="Pas de tir" dataDxfId="701"/>
    <tableColumn id="2" xr3:uid="{00000000-0010-0000-0200-000002000000}" name="1" dataDxfId="700" totalsRowDxfId="699"/>
    <tableColumn id="3" xr3:uid="{00000000-0010-0000-0200-000003000000}" name="2" dataDxfId="698" totalsRowDxfId="697"/>
    <tableColumn id="4" xr3:uid="{00000000-0010-0000-0200-000004000000}" name="3" dataDxfId="696" totalsRowDxfId="695"/>
    <tableColumn id="5" xr3:uid="{00000000-0010-0000-0200-000005000000}" name="4" dataDxfId="694" totalsRowDxfId="693"/>
    <tableColumn id="6" xr3:uid="{00000000-0010-0000-0200-000006000000}" name="5" dataDxfId="692" totalsRowDxfId="691"/>
    <tableColumn id="7" xr3:uid="{00000000-0010-0000-0200-000007000000}" name="6" dataDxfId="690" totalsRowDxfId="689"/>
    <tableColumn id="8" xr3:uid="{00000000-0010-0000-0200-000008000000}" name="7" dataDxfId="688" totalsRowDxfId="687"/>
    <tableColumn id="9" xr3:uid="{00000000-0010-0000-0200-000009000000}" name="8" dataDxfId="686" totalsRowDxfId="685"/>
    <tableColumn id="10" xr3:uid="{00000000-0010-0000-0200-00000A000000}" name="9" dataDxfId="684" totalsRowDxfId="683"/>
    <tableColumn id="11" xr3:uid="{00000000-0010-0000-0200-00000B000000}" name="10" dataDxfId="682" totalsRowDxfId="681"/>
    <tableColumn id="12" xr3:uid="{00000000-0010-0000-0200-00000C000000}" name="11" dataDxfId="680" totalsRowDxfId="679"/>
    <tableColumn id="13" xr3:uid="{00000000-0010-0000-0200-00000D000000}" name="12" dataDxfId="678" totalsRowDxfId="677"/>
    <tableColumn id="14" xr3:uid="{00000000-0010-0000-0200-00000E000000}" name="13" dataDxfId="676" totalsRowDxfId="675"/>
    <tableColumn id="15" xr3:uid="{00000000-0010-0000-0200-00000F000000}" name="14" dataDxfId="674" totalsRowDxfId="673"/>
    <tableColumn id="16" xr3:uid="{00000000-0010-0000-0200-000010000000}" name="15" dataDxfId="672" totalsRowDxfId="671"/>
    <tableColumn id="17" xr3:uid="{00000000-0010-0000-0200-000011000000}" name="16" dataDxfId="670" totalsRowDxfId="669"/>
    <tableColumn id="18" xr3:uid="{00000000-0010-0000-0200-000012000000}" name="17" dataDxfId="668" totalsRowDxfId="667"/>
    <tableColumn id="19" xr3:uid="{00000000-0010-0000-0200-000013000000}" name="18" dataDxfId="666" totalsRowDxfId="665"/>
    <tableColumn id="20" xr3:uid="{00000000-0010-0000-0200-000014000000}" name="19" dataDxfId="664" totalsRowDxfId="663"/>
    <tableColumn id="21" xr3:uid="{00000000-0010-0000-0200-000015000000}" name="20" dataDxfId="662" totalsRowDxfId="661"/>
    <tableColumn id="22" xr3:uid="{00000000-0010-0000-0200-000016000000}" name="21" dataDxfId="660" totalsRowDxfId="659"/>
    <tableColumn id="23" xr3:uid="{00000000-0010-0000-0200-000017000000}" name="22" dataDxfId="658" totalsRowDxfId="657"/>
    <tableColumn id="24" xr3:uid="{00000000-0010-0000-0200-000018000000}" name="23" dataDxfId="656" totalsRowDxfId="655"/>
    <tableColumn id="25" xr3:uid="{00000000-0010-0000-0200-000019000000}" name="24" dataDxfId="654" totalsRowDxfId="653"/>
    <tableColumn id="26" xr3:uid="{00000000-0010-0000-0200-00001A000000}" name="25" dataDxfId="652" totalsRowDxfId="651"/>
    <tableColumn id="27" xr3:uid="{00000000-0010-0000-0200-00001B000000}" name="26" dataDxfId="650" totalsRowDxfId="649"/>
    <tableColumn id="28" xr3:uid="{00000000-0010-0000-0200-00001C000000}" name="27" dataDxfId="648" totalsRowDxfId="647"/>
    <tableColumn id="29" xr3:uid="{00000000-0010-0000-0200-00001D000000}" name="28" dataDxfId="646" totalsRowDxfId="645"/>
    <tableColumn id="30" xr3:uid="{00000000-0010-0000-0200-00001E000000}" name="29" dataDxfId="644" totalsRowDxfId="643"/>
    <tableColumn id="31" xr3:uid="{00000000-0010-0000-0200-00001F000000}" name="30" dataDxfId="642" totalsRowDxfId="641"/>
    <tableColumn id="32" xr3:uid="{00000000-0010-0000-0200-000020000000}" name="31" dataDxfId="640" totalsRowDxfId="639"/>
    <tableColumn id="33" xr3:uid="{00000000-0010-0000-0200-000021000000}" name="Nombre total de jours" totalsRowDxfId="638">
      <calculatedColumnFormula>COUNTA(tblMars[[#This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mars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blAvril" displayName="tblAvril" ref="A4:AG10" totalsRowShown="0">
  <tableColumns count="33">
    <tableColumn id="1" xr3:uid="{00000000-0010-0000-0300-000001000000}" name="Pas de tir" dataDxfId="637"/>
    <tableColumn id="2" xr3:uid="{00000000-0010-0000-0300-000002000000}" name="1" dataDxfId="636" totalsRowDxfId="635"/>
    <tableColumn id="3" xr3:uid="{00000000-0010-0000-0300-000003000000}" name="2" dataDxfId="634" totalsRowDxfId="633"/>
    <tableColumn id="4" xr3:uid="{00000000-0010-0000-0300-000004000000}" name="3" dataDxfId="632" totalsRowDxfId="631"/>
    <tableColumn id="5" xr3:uid="{00000000-0010-0000-0300-000005000000}" name="4" dataDxfId="630" totalsRowDxfId="629"/>
    <tableColumn id="6" xr3:uid="{00000000-0010-0000-0300-000006000000}" name="5" dataDxfId="628" totalsRowDxfId="627"/>
    <tableColumn id="7" xr3:uid="{00000000-0010-0000-0300-000007000000}" name="6" dataDxfId="626" totalsRowDxfId="625"/>
    <tableColumn id="8" xr3:uid="{00000000-0010-0000-0300-000008000000}" name="7" dataDxfId="624" totalsRowDxfId="623"/>
    <tableColumn id="9" xr3:uid="{00000000-0010-0000-0300-000009000000}" name="8" dataDxfId="622" totalsRowDxfId="621"/>
    <tableColumn id="10" xr3:uid="{00000000-0010-0000-0300-00000A000000}" name="9" dataDxfId="620" totalsRowDxfId="619"/>
    <tableColumn id="11" xr3:uid="{00000000-0010-0000-0300-00000B000000}" name="10" dataDxfId="618" totalsRowDxfId="617"/>
    <tableColumn id="12" xr3:uid="{00000000-0010-0000-0300-00000C000000}" name="11" dataDxfId="616" totalsRowDxfId="615"/>
    <tableColumn id="13" xr3:uid="{00000000-0010-0000-0300-00000D000000}" name="12" dataDxfId="614" totalsRowDxfId="613"/>
    <tableColumn id="14" xr3:uid="{00000000-0010-0000-0300-00000E000000}" name="13" dataDxfId="612" totalsRowDxfId="611"/>
    <tableColumn id="15" xr3:uid="{00000000-0010-0000-0300-00000F000000}" name="14" dataDxfId="610" totalsRowDxfId="609"/>
    <tableColumn id="16" xr3:uid="{00000000-0010-0000-0300-000010000000}" name="15" dataDxfId="608" totalsRowDxfId="607"/>
    <tableColumn id="17" xr3:uid="{00000000-0010-0000-0300-000011000000}" name="16" dataDxfId="606" totalsRowDxfId="605"/>
    <tableColumn id="18" xr3:uid="{00000000-0010-0000-0300-000012000000}" name="17" dataDxfId="604" totalsRowDxfId="603"/>
    <tableColumn id="19" xr3:uid="{00000000-0010-0000-0300-000013000000}" name="18" dataDxfId="602" totalsRowDxfId="601"/>
    <tableColumn id="20" xr3:uid="{00000000-0010-0000-0300-000014000000}" name="19" dataDxfId="600" totalsRowDxfId="599"/>
    <tableColumn id="21" xr3:uid="{00000000-0010-0000-0300-000015000000}" name="20" dataDxfId="598" totalsRowDxfId="597"/>
    <tableColumn id="22" xr3:uid="{00000000-0010-0000-0300-000016000000}" name="21" dataDxfId="596" totalsRowDxfId="595"/>
    <tableColumn id="23" xr3:uid="{00000000-0010-0000-0300-000017000000}" name="22" dataDxfId="594" totalsRowDxfId="593"/>
    <tableColumn id="24" xr3:uid="{00000000-0010-0000-0300-000018000000}" name="23" dataDxfId="592" totalsRowDxfId="591"/>
    <tableColumn id="25" xr3:uid="{00000000-0010-0000-0300-000019000000}" name="24" dataDxfId="590" totalsRowDxfId="589"/>
    <tableColumn id="26" xr3:uid="{00000000-0010-0000-0300-00001A000000}" name="25" dataDxfId="588" totalsRowDxfId="587"/>
    <tableColumn id="27" xr3:uid="{00000000-0010-0000-0300-00001B000000}" name="26" dataDxfId="586" totalsRowDxfId="585"/>
    <tableColumn id="28" xr3:uid="{00000000-0010-0000-0300-00001C000000}" name="27" dataDxfId="584" totalsRowDxfId="583"/>
    <tableColumn id="29" xr3:uid="{00000000-0010-0000-0300-00001D000000}" name="28" dataDxfId="582" totalsRowDxfId="581"/>
    <tableColumn id="30" xr3:uid="{00000000-0010-0000-0300-00001E000000}" name="J" dataDxfId="580" totalsRowDxfId="579"/>
    <tableColumn id="31" xr3:uid="{00000000-0010-0000-0300-00001F000000}" name="30" dataDxfId="578" totalsRowDxfId="577"/>
    <tableColumn id="32" xr3:uid="{00000000-0010-0000-0300-000020000000}" name=" " dataDxfId="576" totalsRowDxfId="575"/>
    <tableColumn id="33" xr3:uid="{00000000-0010-0000-0300-000021000000}" name="Nombre total de jours" totalsRowDxfId="574">
      <calculatedColumnFormula>COUNTA(tblAvril[[#This Row],[1]:[J]])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avril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blMai" displayName="tblMai" ref="A4:AG10" totalsRowShown="0">
  <tableColumns count="33">
    <tableColumn id="1" xr3:uid="{00000000-0010-0000-0400-000001000000}" name="Pas de tir" dataDxfId="573"/>
    <tableColumn id="2" xr3:uid="{00000000-0010-0000-0400-000002000000}" name="1" dataDxfId="572" totalsRowDxfId="571"/>
    <tableColumn id="3" xr3:uid="{00000000-0010-0000-0400-000003000000}" name="2" dataDxfId="570" totalsRowDxfId="569"/>
    <tableColumn id="4" xr3:uid="{00000000-0010-0000-0400-000004000000}" name="3" dataDxfId="568" totalsRowDxfId="567"/>
    <tableColumn id="5" xr3:uid="{00000000-0010-0000-0400-000005000000}" name="4" dataDxfId="566" totalsRowDxfId="565"/>
    <tableColumn id="6" xr3:uid="{00000000-0010-0000-0400-000006000000}" name="5" dataDxfId="564" totalsRowDxfId="563"/>
    <tableColumn id="7" xr3:uid="{00000000-0010-0000-0400-000007000000}" name="6" dataDxfId="562" totalsRowDxfId="561"/>
    <tableColumn id="8" xr3:uid="{00000000-0010-0000-0400-000008000000}" name="7" dataDxfId="560" totalsRowDxfId="559"/>
    <tableColumn id="9" xr3:uid="{00000000-0010-0000-0400-000009000000}" name="8" dataDxfId="558" totalsRowDxfId="557"/>
    <tableColumn id="10" xr3:uid="{00000000-0010-0000-0400-00000A000000}" name="9" dataDxfId="556" totalsRowDxfId="555"/>
    <tableColumn id="11" xr3:uid="{00000000-0010-0000-0400-00000B000000}" name="10" dataDxfId="554" totalsRowDxfId="553"/>
    <tableColumn id="12" xr3:uid="{00000000-0010-0000-0400-00000C000000}" name="11" dataDxfId="552" totalsRowDxfId="551"/>
    <tableColumn id="13" xr3:uid="{00000000-0010-0000-0400-00000D000000}" name="12" dataDxfId="550" totalsRowDxfId="549"/>
    <tableColumn id="14" xr3:uid="{00000000-0010-0000-0400-00000E000000}" name="13" dataDxfId="548" totalsRowDxfId="547"/>
    <tableColumn id="15" xr3:uid="{00000000-0010-0000-0400-00000F000000}" name="14" dataDxfId="546" totalsRowDxfId="545"/>
    <tableColumn id="16" xr3:uid="{00000000-0010-0000-0400-000010000000}" name="15" dataDxfId="544" totalsRowDxfId="543"/>
    <tableColumn id="17" xr3:uid="{00000000-0010-0000-0400-000011000000}" name="16" dataDxfId="542" totalsRowDxfId="541"/>
    <tableColumn id="18" xr3:uid="{00000000-0010-0000-0400-000012000000}" name="17" dataDxfId="540" totalsRowDxfId="539"/>
    <tableColumn id="19" xr3:uid="{00000000-0010-0000-0400-000013000000}" name="18" dataDxfId="538" totalsRowDxfId="537"/>
    <tableColumn id="20" xr3:uid="{00000000-0010-0000-0400-000014000000}" name="19" dataDxfId="536" totalsRowDxfId="535"/>
    <tableColumn id="21" xr3:uid="{00000000-0010-0000-0400-000015000000}" name="20" dataDxfId="534" totalsRowDxfId="533"/>
    <tableColumn id="22" xr3:uid="{00000000-0010-0000-0400-000016000000}" name="21" dataDxfId="532" totalsRowDxfId="531"/>
    <tableColumn id="23" xr3:uid="{00000000-0010-0000-0400-000017000000}" name="22" dataDxfId="530" totalsRowDxfId="529"/>
    <tableColumn id="24" xr3:uid="{00000000-0010-0000-0400-000018000000}" name="23" dataDxfId="528" totalsRowDxfId="527"/>
    <tableColumn id="25" xr3:uid="{00000000-0010-0000-0400-000019000000}" name="24" dataDxfId="526" totalsRowDxfId="525"/>
    <tableColumn id="26" xr3:uid="{00000000-0010-0000-0400-00001A000000}" name="25" dataDxfId="524" totalsRowDxfId="523"/>
    <tableColumn id="27" xr3:uid="{00000000-0010-0000-0400-00001B000000}" name="26" dataDxfId="522" totalsRowDxfId="521"/>
    <tableColumn id="28" xr3:uid="{00000000-0010-0000-0400-00001C000000}" name="27" dataDxfId="520" totalsRowDxfId="519"/>
    <tableColumn id="29" xr3:uid="{00000000-0010-0000-0400-00001D000000}" name="28" dataDxfId="518" totalsRowDxfId="517"/>
    <tableColumn id="30" xr3:uid="{00000000-0010-0000-0400-00001E000000}" name="29" dataDxfId="516" totalsRowDxfId="515"/>
    <tableColumn id="31" xr3:uid="{00000000-0010-0000-0400-00001F000000}" name="30" dataDxfId="514" totalsRowDxfId="513"/>
    <tableColumn id="32" xr3:uid="{00000000-0010-0000-0400-000020000000}" name="31" dataDxfId="512" totalsRowDxfId="511"/>
    <tableColumn id="33" xr3:uid="{00000000-0010-0000-0400-000021000000}" name="Nombre total de jours" totalsRowDxfId="510">
      <calculatedColumnFormula>COUNTA(tblMai[[#This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mai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blJuin" displayName="tblJuin" ref="A4:AG10" totalsRowShown="0">
  <tableColumns count="33">
    <tableColumn id="1" xr3:uid="{00000000-0010-0000-0500-000001000000}" name="Pas de tir" dataDxfId="509"/>
    <tableColumn id="2" xr3:uid="{00000000-0010-0000-0500-000002000000}" name="1" dataDxfId="508" totalsRowDxfId="507"/>
    <tableColumn id="3" xr3:uid="{00000000-0010-0000-0500-000003000000}" name="2" dataDxfId="506" totalsRowDxfId="505"/>
    <tableColumn id="4" xr3:uid="{00000000-0010-0000-0500-000004000000}" name="3" dataDxfId="504" totalsRowDxfId="503"/>
    <tableColumn id="5" xr3:uid="{00000000-0010-0000-0500-000005000000}" name="4" dataDxfId="502" totalsRowDxfId="501"/>
    <tableColumn id="6" xr3:uid="{00000000-0010-0000-0500-000006000000}" name="5" dataDxfId="500" totalsRowDxfId="499"/>
    <tableColumn id="7" xr3:uid="{00000000-0010-0000-0500-000007000000}" name="6" dataDxfId="498" totalsRowDxfId="497"/>
    <tableColumn id="8" xr3:uid="{00000000-0010-0000-0500-000008000000}" name="7" dataDxfId="496" totalsRowDxfId="495"/>
    <tableColumn id="9" xr3:uid="{00000000-0010-0000-0500-000009000000}" name="8" dataDxfId="494" totalsRowDxfId="493"/>
    <tableColumn id="10" xr3:uid="{00000000-0010-0000-0500-00000A000000}" name="9" dataDxfId="492" totalsRowDxfId="491"/>
    <tableColumn id="11" xr3:uid="{00000000-0010-0000-0500-00000B000000}" name="10" dataDxfId="490" totalsRowDxfId="489"/>
    <tableColumn id="12" xr3:uid="{00000000-0010-0000-0500-00000C000000}" name="11" dataDxfId="488" totalsRowDxfId="487"/>
    <tableColumn id="13" xr3:uid="{00000000-0010-0000-0500-00000D000000}" name="12" dataDxfId="486" totalsRowDxfId="485"/>
    <tableColumn id="14" xr3:uid="{00000000-0010-0000-0500-00000E000000}" name="13" dataDxfId="484" totalsRowDxfId="483"/>
    <tableColumn id="15" xr3:uid="{00000000-0010-0000-0500-00000F000000}" name="14" dataDxfId="482" totalsRowDxfId="481"/>
    <tableColumn id="16" xr3:uid="{00000000-0010-0000-0500-000010000000}" name="15" dataDxfId="480" totalsRowDxfId="479"/>
    <tableColumn id="17" xr3:uid="{00000000-0010-0000-0500-000011000000}" name="16" dataDxfId="478" totalsRowDxfId="477"/>
    <tableColumn id="18" xr3:uid="{00000000-0010-0000-0500-000012000000}" name="17" dataDxfId="476" totalsRowDxfId="475"/>
    <tableColumn id="19" xr3:uid="{00000000-0010-0000-0500-000013000000}" name="18" dataDxfId="474" totalsRowDxfId="473"/>
    <tableColumn id="20" xr3:uid="{00000000-0010-0000-0500-000014000000}" name="19" dataDxfId="472" totalsRowDxfId="471"/>
    <tableColumn id="21" xr3:uid="{00000000-0010-0000-0500-000015000000}" name="20" dataDxfId="470" totalsRowDxfId="469"/>
    <tableColumn id="22" xr3:uid="{00000000-0010-0000-0500-000016000000}" name="21" dataDxfId="468" totalsRowDxfId="467"/>
    <tableColumn id="23" xr3:uid="{00000000-0010-0000-0500-000017000000}" name="22" dataDxfId="466" totalsRowDxfId="465"/>
    <tableColumn id="24" xr3:uid="{00000000-0010-0000-0500-000018000000}" name="23" dataDxfId="464" totalsRowDxfId="463"/>
    <tableColumn id="25" xr3:uid="{00000000-0010-0000-0500-000019000000}" name="24" dataDxfId="462" totalsRowDxfId="461"/>
    <tableColumn id="26" xr3:uid="{00000000-0010-0000-0500-00001A000000}" name="25" dataDxfId="460" totalsRowDxfId="459"/>
    <tableColumn id="27" xr3:uid="{00000000-0010-0000-0500-00001B000000}" name="26" dataDxfId="458" totalsRowDxfId="457"/>
    <tableColumn id="28" xr3:uid="{00000000-0010-0000-0500-00001C000000}" name="27" dataDxfId="456" totalsRowDxfId="455"/>
    <tableColumn id="29" xr3:uid="{00000000-0010-0000-0500-00001D000000}" name="28" dataDxfId="454" totalsRowDxfId="453"/>
    <tableColumn id="30" xr3:uid="{00000000-0010-0000-0500-00001E000000}" name="29" dataDxfId="452" totalsRowDxfId="451"/>
    <tableColumn id="31" xr3:uid="{00000000-0010-0000-0500-00001F000000}" name="30" dataDxfId="450" totalsRowDxfId="449"/>
    <tableColumn id="32" xr3:uid="{00000000-0010-0000-0500-000020000000}" name=" " dataDxfId="448" totalsRowDxfId="447"/>
    <tableColumn id="33" xr3:uid="{00000000-0010-0000-0500-000021000000}" name="Nombre total de jours" totalsRowDxfId="446">
      <calculatedColumnFormula>COUNTA(tblJuin[[#This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juin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blJuillet" displayName="tblJuillet" ref="A4:AG10" totalsRowShown="0">
  <tableColumns count="33">
    <tableColumn id="1" xr3:uid="{00000000-0010-0000-0600-000001000000}" name="Pas de tir" dataDxfId="445"/>
    <tableColumn id="2" xr3:uid="{00000000-0010-0000-0600-000002000000}" name="1" dataDxfId="444" totalsRowDxfId="443"/>
    <tableColumn id="3" xr3:uid="{00000000-0010-0000-0600-000003000000}" name="2" dataDxfId="442" totalsRowDxfId="441"/>
    <tableColumn id="4" xr3:uid="{00000000-0010-0000-0600-000004000000}" name="3" dataDxfId="440" totalsRowDxfId="439"/>
    <tableColumn id="5" xr3:uid="{00000000-0010-0000-0600-000005000000}" name="4" dataDxfId="438" totalsRowDxfId="437"/>
    <tableColumn id="6" xr3:uid="{00000000-0010-0000-0600-000006000000}" name="5" dataDxfId="436" totalsRowDxfId="435"/>
    <tableColumn id="7" xr3:uid="{00000000-0010-0000-0600-000007000000}" name="6" dataDxfId="434" totalsRowDxfId="433"/>
    <tableColumn id="8" xr3:uid="{00000000-0010-0000-0600-000008000000}" name="7" dataDxfId="432" totalsRowDxfId="431"/>
    <tableColumn id="9" xr3:uid="{00000000-0010-0000-0600-000009000000}" name="8" dataDxfId="430" totalsRowDxfId="429"/>
    <tableColumn id="10" xr3:uid="{00000000-0010-0000-0600-00000A000000}" name="9" dataDxfId="428" totalsRowDxfId="427"/>
    <tableColumn id="11" xr3:uid="{00000000-0010-0000-0600-00000B000000}" name="10" dataDxfId="426" totalsRowDxfId="425"/>
    <tableColumn id="12" xr3:uid="{00000000-0010-0000-0600-00000C000000}" name="11" dataDxfId="424" totalsRowDxfId="423"/>
    <tableColumn id="13" xr3:uid="{00000000-0010-0000-0600-00000D000000}" name="12" dataDxfId="422" totalsRowDxfId="421"/>
    <tableColumn id="14" xr3:uid="{00000000-0010-0000-0600-00000E000000}" name="13" dataDxfId="420" totalsRowDxfId="419"/>
    <tableColumn id="15" xr3:uid="{00000000-0010-0000-0600-00000F000000}" name="14" dataDxfId="418" totalsRowDxfId="417"/>
    <tableColumn id="16" xr3:uid="{00000000-0010-0000-0600-000010000000}" name="15" dataDxfId="416" totalsRowDxfId="415"/>
    <tableColumn id="17" xr3:uid="{00000000-0010-0000-0600-000011000000}" name="16" dataDxfId="414" totalsRowDxfId="413"/>
    <tableColumn id="18" xr3:uid="{00000000-0010-0000-0600-000012000000}" name="17" dataDxfId="412" totalsRowDxfId="411"/>
    <tableColumn id="19" xr3:uid="{00000000-0010-0000-0600-000013000000}" name="18" dataDxfId="410" totalsRowDxfId="409"/>
    <tableColumn id="20" xr3:uid="{00000000-0010-0000-0600-000014000000}" name="19" dataDxfId="408" totalsRowDxfId="407"/>
    <tableColumn id="21" xr3:uid="{00000000-0010-0000-0600-000015000000}" name="20" dataDxfId="406" totalsRowDxfId="405"/>
    <tableColumn id="22" xr3:uid="{00000000-0010-0000-0600-000016000000}" name="21" dataDxfId="404" totalsRowDxfId="403"/>
    <tableColumn id="23" xr3:uid="{00000000-0010-0000-0600-000017000000}" name="22" dataDxfId="402" totalsRowDxfId="401"/>
    <tableColumn id="24" xr3:uid="{00000000-0010-0000-0600-000018000000}" name="23" dataDxfId="400" totalsRowDxfId="399"/>
    <tableColumn id="25" xr3:uid="{00000000-0010-0000-0600-000019000000}" name="24" dataDxfId="398" totalsRowDxfId="397"/>
    <tableColumn id="26" xr3:uid="{00000000-0010-0000-0600-00001A000000}" name="25" dataDxfId="396" totalsRowDxfId="395"/>
    <tableColumn id="27" xr3:uid="{00000000-0010-0000-0600-00001B000000}" name="26" dataDxfId="394" totalsRowDxfId="393"/>
    <tableColumn id="28" xr3:uid="{00000000-0010-0000-0600-00001C000000}" name="27" dataDxfId="392" totalsRowDxfId="391"/>
    <tableColumn id="29" xr3:uid="{00000000-0010-0000-0600-00001D000000}" name="28" dataDxfId="390" totalsRowDxfId="389"/>
    <tableColumn id="30" xr3:uid="{00000000-0010-0000-0600-00001E000000}" name="29" dataDxfId="388" totalsRowDxfId="387"/>
    <tableColumn id="31" xr3:uid="{00000000-0010-0000-0600-00001F000000}" name="30" dataDxfId="386" totalsRowDxfId="385"/>
    <tableColumn id="32" xr3:uid="{00000000-0010-0000-0600-000020000000}" name="31" dataDxfId="384" totalsRowDxfId="383"/>
    <tableColumn id="33" xr3:uid="{00000000-0010-0000-0600-000021000000}" name="Nombre total de jours" totalsRowDxfId="382">
      <calculatedColumnFormula>COUNTA(tblJuillet[[#This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juillet" altTextSummary="Fournit une liste de noms et des dates de calendrier pour consigner les absences des employés et leur type (C=Congés, M=Maladie, P=Personnel et deux espaces réservés pour des entrées personnalisées)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blAoût" displayName="tblAoût" ref="A4:AG10" totalsRowShown="0">
  <tableColumns count="33">
    <tableColumn id="1" xr3:uid="{00000000-0010-0000-0700-000001000000}" name="Pas de tir" dataDxfId="381"/>
    <tableColumn id="2" xr3:uid="{00000000-0010-0000-0700-000002000000}" name="1" dataDxfId="380" totalsRowDxfId="379"/>
    <tableColumn id="3" xr3:uid="{00000000-0010-0000-0700-000003000000}" name="2" dataDxfId="378" totalsRowDxfId="377"/>
    <tableColumn id="4" xr3:uid="{00000000-0010-0000-0700-000004000000}" name="3" dataDxfId="376" totalsRowDxfId="375"/>
    <tableColumn id="5" xr3:uid="{00000000-0010-0000-0700-000005000000}" name="4" dataDxfId="374" totalsRowDxfId="373"/>
    <tableColumn id="6" xr3:uid="{00000000-0010-0000-0700-000006000000}" name="5" dataDxfId="372" totalsRowDxfId="371"/>
    <tableColumn id="7" xr3:uid="{00000000-0010-0000-0700-000007000000}" name="6" dataDxfId="370" totalsRowDxfId="369"/>
    <tableColumn id="8" xr3:uid="{00000000-0010-0000-0700-000008000000}" name="7" dataDxfId="368" totalsRowDxfId="367"/>
    <tableColumn id="9" xr3:uid="{00000000-0010-0000-0700-000009000000}" name="8" dataDxfId="366" totalsRowDxfId="365"/>
    <tableColumn id="10" xr3:uid="{00000000-0010-0000-0700-00000A000000}" name="9" dataDxfId="364" totalsRowDxfId="363"/>
    <tableColumn id="11" xr3:uid="{00000000-0010-0000-0700-00000B000000}" name="10" dataDxfId="362" totalsRowDxfId="361"/>
    <tableColumn id="12" xr3:uid="{00000000-0010-0000-0700-00000C000000}" name="11" dataDxfId="360" totalsRowDxfId="359"/>
    <tableColumn id="13" xr3:uid="{00000000-0010-0000-0700-00000D000000}" name="12" dataDxfId="358" totalsRowDxfId="357"/>
    <tableColumn id="14" xr3:uid="{00000000-0010-0000-0700-00000E000000}" name="13" dataDxfId="356" totalsRowDxfId="355"/>
    <tableColumn id="15" xr3:uid="{00000000-0010-0000-0700-00000F000000}" name="14" dataDxfId="354" totalsRowDxfId="353"/>
    <tableColumn id="16" xr3:uid="{00000000-0010-0000-0700-000010000000}" name="15" dataDxfId="352" totalsRowDxfId="351"/>
    <tableColumn id="17" xr3:uid="{00000000-0010-0000-0700-000011000000}" name="16" dataDxfId="350" totalsRowDxfId="349"/>
    <tableColumn id="18" xr3:uid="{00000000-0010-0000-0700-000012000000}" name="17" dataDxfId="348" totalsRowDxfId="347"/>
    <tableColumn id="19" xr3:uid="{00000000-0010-0000-0700-000013000000}" name="18" dataDxfId="346" totalsRowDxfId="345"/>
    <tableColumn id="20" xr3:uid="{00000000-0010-0000-0700-000014000000}" name="19" dataDxfId="344" totalsRowDxfId="343"/>
    <tableColumn id="21" xr3:uid="{00000000-0010-0000-0700-000015000000}" name="20" dataDxfId="342" totalsRowDxfId="341"/>
    <tableColumn id="22" xr3:uid="{00000000-0010-0000-0700-000016000000}" name="21" dataDxfId="340" totalsRowDxfId="339"/>
    <tableColumn id="23" xr3:uid="{00000000-0010-0000-0700-000017000000}" name="22" dataDxfId="338" totalsRowDxfId="337"/>
    <tableColumn id="24" xr3:uid="{00000000-0010-0000-0700-000018000000}" name="23" dataDxfId="336" totalsRowDxfId="335"/>
    <tableColumn id="25" xr3:uid="{00000000-0010-0000-0700-000019000000}" name="24" dataDxfId="334" totalsRowDxfId="333"/>
    <tableColumn id="26" xr3:uid="{00000000-0010-0000-0700-00001A000000}" name="25" dataDxfId="332" totalsRowDxfId="331"/>
    <tableColumn id="27" xr3:uid="{00000000-0010-0000-0700-00001B000000}" name="26" dataDxfId="330" totalsRowDxfId="329"/>
    <tableColumn id="28" xr3:uid="{00000000-0010-0000-0700-00001C000000}" name="27" dataDxfId="328" totalsRowDxfId="327"/>
    <tableColumn id="29" xr3:uid="{00000000-0010-0000-0700-00001D000000}" name="28" dataDxfId="326" totalsRowDxfId="325"/>
    <tableColumn id="30" xr3:uid="{00000000-0010-0000-0700-00001E000000}" name="29" dataDxfId="324" totalsRowDxfId="323"/>
    <tableColumn id="31" xr3:uid="{00000000-0010-0000-0700-00001F000000}" name="30" dataDxfId="322" totalsRowDxfId="321"/>
    <tableColumn id="32" xr3:uid="{00000000-0010-0000-0700-000020000000}" name="31" dataDxfId="320" totalsRowDxfId="319"/>
    <tableColumn id="33" xr3:uid="{00000000-0010-0000-0700-000021000000}" name="Nombre total de jours" totalsRowDxfId="318">
      <calculatedColumnFormula>COUNTA(tblAoût[[#This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août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blSeptembre" displayName="tblSeptembre" ref="A4:AG10" totalsRowShown="0">
  <tableColumns count="33">
    <tableColumn id="1" xr3:uid="{00000000-0010-0000-0800-000001000000}" name="Pas de tir" dataDxfId="317"/>
    <tableColumn id="2" xr3:uid="{00000000-0010-0000-0800-000002000000}" name="1" dataDxfId="316" totalsRowDxfId="315"/>
    <tableColumn id="3" xr3:uid="{00000000-0010-0000-0800-000003000000}" name="2" dataDxfId="314" totalsRowDxfId="313"/>
    <tableColumn id="4" xr3:uid="{00000000-0010-0000-0800-000004000000}" name="3" dataDxfId="312" totalsRowDxfId="311"/>
    <tableColumn id="5" xr3:uid="{00000000-0010-0000-0800-000005000000}" name="4" dataDxfId="310" totalsRowDxfId="309"/>
    <tableColumn id="6" xr3:uid="{00000000-0010-0000-0800-000006000000}" name="5" dataDxfId="308" totalsRowDxfId="307"/>
    <tableColumn id="7" xr3:uid="{00000000-0010-0000-0800-000007000000}" name="6" dataDxfId="306" totalsRowDxfId="305"/>
    <tableColumn id="8" xr3:uid="{00000000-0010-0000-0800-000008000000}" name="7" dataDxfId="304" totalsRowDxfId="303"/>
    <tableColumn id="9" xr3:uid="{00000000-0010-0000-0800-000009000000}" name="8" dataDxfId="302" totalsRowDxfId="301"/>
    <tableColumn id="10" xr3:uid="{00000000-0010-0000-0800-00000A000000}" name="9" dataDxfId="300" totalsRowDxfId="299"/>
    <tableColumn id="11" xr3:uid="{00000000-0010-0000-0800-00000B000000}" name="10" dataDxfId="298" totalsRowDxfId="297"/>
    <tableColumn id="12" xr3:uid="{00000000-0010-0000-0800-00000C000000}" name="11" dataDxfId="296" totalsRowDxfId="295"/>
    <tableColumn id="13" xr3:uid="{00000000-0010-0000-0800-00000D000000}" name="12" dataDxfId="294" totalsRowDxfId="293"/>
    <tableColumn id="14" xr3:uid="{00000000-0010-0000-0800-00000E000000}" name="13" dataDxfId="292" totalsRowDxfId="291"/>
    <tableColumn id="15" xr3:uid="{00000000-0010-0000-0800-00000F000000}" name="14" dataDxfId="290" totalsRowDxfId="289"/>
    <tableColumn id="16" xr3:uid="{00000000-0010-0000-0800-000010000000}" name="15" dataDxfId="288" totalsRowDxfId="287"/>
    <tableColumn id="17" xr3:uid="{00000000-0010-0000-0800-000011000000}" name="16" dataDxfId="286" totalsRowDxfId="285"/>
    <tableColumn id="18" xr3:uid="{00000000-0010-0000-0800-000012000000}" name="17" dataDxfId="284" totalsRowDxfId="283"/>
    <tableColumn id="19" xr3:uid="{00000000-0010-0000-0800-000013000000}" name="18" dataDxfId="282" totalsRowDxfId="281"/>
    <tableColumn id="20" xr3:uid="{00000000-0010-0000-0800-000014000000}" name="19" dataDxfId="280" totalsRowDxfId="279"/>
    <tableColumn id="21" xr3:uid="{00000000-0010-0000-0800-000015000000}" name="20" dataDxfId="278" totalsRowDxfId="277"/>
    <tableColumn id="22" xr3:uid="{00000000-0010-0000-0800-000016000000}" name="21" dataDxfId="276" totalsRowDxfId="275"/>
    <tableColumn id="23" xr3:uid="{00000000-0010-0000-0800-000017000000}" name="22" dataDxfId="274" totalsRowDxfId="273"/>
    <tableColumn id="24" xr3:uid="{00000000-0010-0000-0800-000018000000}" name="23" dataDxfId="272" totalsRowDxfId="271"/>
    <tableColumn id="25" xr3:uid="{00000000-0010-0000-0800-000019000000}" name="24" dataDxfId="270" totalsRowDxfId="269"/>
    <tableColumn id="26" xr3:uid="{00000000-0010-0000-0800-00001A000000}" name="25" dataDxfId="268" totalsRowDxfId="267"/>
    <tableColumn id="27" xr3:uid="{00000000-0010-0000-0800-00001B000000}" name="26" dataDxfId="266" totalsRowDxfId="265"/>
    <tableColumn id="28" xr3:uid="{00000000-0010-0000-0800-00001C000000}" name="27" dataDxfId="264" totalsRowDxfId="263"/>
    <tableColumn id="29" xr3:uid="{00000000-0010-0000-0800-00001D000000}" name="28" dataDxfId="262" totalsRowDxfId="261"/>
    <tableColumn id="30" xr3:uid="{00000000-0010-0000-0800-00001E000000}" name="29" dataDxfId="260" totalsRowDxfId="259"/>
    <tableColumn id="31" xr3:uid="{00000000-0010-0000-0800-00001F000000}" name="30" dataDxfId="258" totalsRowDxfId="257"/>
    <tableColumn id="32" xr3:uid="{00000000-0010-0000-0800-000020000000}" name=" " dataDxfId="256" totalsRowDxfId="255"/>
    <tableColumn id="33" xr3:uid="{00000000-0010-0000-0800-000021000000}" name="Nombre total de jours" totalsRowDxfId="254">
      <calculatedColumnFormula>COUNTA(tblSeptembre[[#This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septembre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heme/theme1.xml><?xml version="1.0" encoding="utf-8"?>
<a:theme xmlns:a="http://schemas.openxmlformats.org/drawingml/2006/main" name="Cadre">
  <a:themeElements>
    <a:clrScheme name="Cadre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Cadre">
      <a:majorFont>
        <a:latin typeface="Corbel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Cad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89999084444715716"/>
    <pageSetUpPr fitToPage="1"/>
  </sheetPr>
  <dimension ref="A1:AH1399"/>
  <sheetViews>
    <sheetView showGridLines="0" workbookViewId="0">
      <selection activeCell="T19" sqref="Q19:T19"/>
    </sheetView>
  </sheetViews>
  <sheetFormatPr baseColWidth="10" defaultColWidth="9.125" defaultRowHeight="15" customHeight="1" x14ac:dyDescent="0.25"/>
  <cols>
    <col min="1" max="1" width="24.375" style="15" customWidth="1"/>
    <col min="2" max="21" width="4" style="13" customWidth="1"/>
    <col min="22" max="22" width="4.5" style="13" customWidth="1"/>
    <col min="23" max="25" width="4" style="13" customWidth="1"/>
    <col min="26" max="27" width="4.5" style="13" customWidth="1"/>
    <col min="28" max="31" width="4" style="13" customWidth="1"/>
    <col min="32" max="32" width="4.5" style="13" customWidth="1"/>
    <col min="33" max="33" width="20.5" style="12" customWidth="1"/>
    <col min="34" max="34" width="9.125" style="13"/>
    <col min="35" max="16384" width="9.125" style="14"/>
  </cols>
  <sheetData>
    <row r="1" spans="1:34" s="33" customFormat="1" ht="50.25" customHeight="1" x14ac:dyDescent="0.25">
      <c r="A1" s="24" t="s">
        <v>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9"/>
      <c r="AD1" s="29"/>
      <c r="AE1" s="30"/>
      <c r="AF1" s="31"/>
      <c r="AG1" s="31"/>
      <c r="AH1" s="32"/>
    </row>
    <row r="2" spans="1:34" s="4" customFormat="1" ht="30" customHeight="1" x14ac:dyDescent="0.25">
      <c r="A2" s="63" t="s">
        <v>35</v>
      </c>
      <c r="B2" s="61" t="s">
        <v>64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4">
        <v>2023</v>
      </c>
      <c r="AH2" s="3"/>
    </row>
    <row r="3" spans="1:34" s="6" customFormat="1" ht="15.75" customHeight="1" x14ac:dyDescent="0.3">
      <c r="A3" s="63"/>
      <c r="B3" s="25" t="str">
        <f>TEXT(WEEKDAY(DATE(CalendrierAnnée,1,1),1),"jjj")</f>
        <v>dim</v>
      </c>
      <c r="C3" s="26" t="str">
        <f>TEXT(WEEKDAY(DATE(CalendrierAnnée,1,2),1),"jjj")</f>
        <v>lun</v>
      </c>
      <c r="D3" s="26" t="str">
        <f>TEXT(WEEKDAY(DATE(CalendrierAnnée,1,3),1),"jjj")</f>
        <v>mar</v>
      </c>
      <c r="E3" s="26" t="str">
        <f>TEXT(WEEKDAY(DATE(CalendrierAnnée,1,4),1),"jjj")</f>
        <v>mer</v>
      </c>
      <c r="F3" s="26" t="str">
        <f>TEXT(WEEKDAY(DATE(CalendrierAnnée,1,5),1),"jjj")</f>
        <v>jeu</v>
      </c>
      <c r="G3" s="26" t="str">
        <f>TEXT(WEEKDAY(DATE(CalendrierAnnée,1,6),1),"jjj")</f>
        <v>ven</v>
      </c>
      <c r="H3" s="26" t="str">
        <f>TEXT(WEEKDAY(DATE(CalendrierAnnée,1,7),1),"jjj")</f>
        <v>sam</v>
      </c>
      <c r="I3" s="26" t="str">
        <f>TEXT(WEEKDAY(DATE(CalendrierAnnée,1,8),1),"jjj")</f>
        <v>dim</v>
      </c>
      <c r="J3" s="26" t="str">
        <f>TEXT(WEEKDAY(DATE(CalendrierAnnée,1,9),1),"jjj")</f>
        <v>lun</v>
      </c>
      <c r="K3" s="26" t="str">
        <f>TEXT(WEEKDAY(DATE(CalendrierAnnée,1,10),1),"jjj")</f>
        <v>mar</v>
      </c>
      <c r="L3" s="26" t="str">
        <f>TEXT(WEEKDAY(DATE(CalendrierAnnée,1,11),1),"jjj")</f>
        <v>mer</v>
      </c>
      <c r="M3" s="26" t="str">
        <f>TEXT(WEEKDAY(DATE(CalendrierAnnée,1,12),1),"jjj")</f>
        <v>jeu</v>
      </c>
      <c r="N3" s="26" t="str">
        <f>TEXT(WEEKDAY(DATE(CalendrierAnnée,1,13),1),"jjj")</f>
        <v>ven</v>
      </c>
      <c r="O3" s="26" t="str">
        <f>TEXT(WEEKDAY(DATE(CalendrierAnnée,1,14),1),"jjj")</f>
        <v>sam</v>
      </c>
      <c r="P3" s="26" t="str">
        <f>TEXT(WEEKDAY(DATE(CalendrierAnnée,1,15),1),"jjj")</f>
        <v>dim</v>
      </c>
      <c r="Q3" s="26" t="str">
        <f>TEXT(WEEKDAY(DATE(CalendrierAnnée,1,16),1),"jjj")</f>
        <v>lun</v>
      </c>
      <c r="R3" s="26" t="str">
        <f>TEXT(WEEKDAY(DATE(CalendrierAnnée,1,17),1),"jjj")</f>
        <v>mar</v>
      </c>
      <c r="S3" s="26" t="str">
        <f>TEXT(WEEKDAY(DATE(CalendrierAnnée,1,18),1),"jjj")</f>
        <v>mer</v>
      </c>
      <c r="T3" s="26" t="str">
        <f>TEXT(WEEKDAY(DATE(CalendrierAnnée,1,19),1),"jjj")</f>
        <v>jeu</v>
      </c>
      <c r="U3" s="26" t="str">
        <f>TEXT(WEEKDAY(DATE(CalendrierAnnée,1,20),1),"jjj")</f>
        <v>ven</v>
      </c>
      <c r="V3" s="26" t="str">
        <f>TEXT(WEEKDAY(DATE(CalendrierAnnée,1,21),1),"jjj")</f>
        <v>sam</v>
      </c>
      <c r="W3" s="26" t="str">
        <f>TEXT(WEEKDAY(DATE(CalendrierAnnée,1,22),1),"jjj")</f>
        <v>dim</v>
      </c>
      <c r="X3" s="26" t="str">
        <f>TEXT(WEEKDAY(DATE(CalendrierAnnée,1,23),1),"jjj")</f>
        <v>lun</v>
      </c>
      <c r="Y3" s="26" t="str">
        <f>TEXT(WEEKDAY(DATE(CalendrierAnnée,1,24),1),"jjj")</f>
        <v>mar</v>
      </c>
      <c r="Z3" s="26" t="str">
        <f>TEXT(WEEKDAY(DATE(CalendrierAnnée,1,25),1),"jjj")</f>
        <v>mer</v>
      </c>
      <c r="AA3" s="26" t="str">
        <f>TEXT(WEEKDAY(DATE(CalendrierAnnée,1,26),1),"jjj")</f>
        <v>jeu</v>
      </c>
      <c r="AB3" s="26" t="str">
        <f>TEXT(WEEKDAY(DATE(CalendrierAnnée,1,27),1),"jjj")</f>
        <v>ven</v>
      </c>
      <c r="AC3" s="26" t="str">
        <f>TEXT(WEEKDAY(DATE(CalendrierAnnée,1,28),1),"jjj")</f>
        <v>sam</v>
      </c>
      <c r="AD3" s="26" t="str">
        <f>TEXT(WEEKDAY(DATE(CalendrierAnnée,1,29),1),"jjj")</f>
        <v>dim</v>
      </c>
      <c r="AE3" s="26" t="str">
        <f>TEXT(WEEKDAY(DATE(CalendrierAnnée,1,30),1),"jjj")</f>
        <v>lun</v>
      </c>
      <c r="AF3" s="27" t="str">
        <f>TEXT(WEEKDAY(DATE(CalendrierAnnée,1,31),1),"jjj")</f>
        <v>mar</v>
      </c>
      <c r="AG3" s="64"/>
      <c r="AH3" s="5"/>
    </row>
    <row r="4" spans="1:34" s="10" customFormat="1" ht="14.45" x14ac:dyDescent="0.3">
      <c r="A4" s="34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9"/>
    </row>
    <row r="5" spans="1:34" s="10" customFormat="1" x14ac:dyDescent="0.25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COUNTA(tblJanvier[[#This Row],[1]:[31]])</f>
        <v>0</v>
      </c>
      <c r="AH5" s="9"/>
    </row>
    <row r="6" spans="1:34" s="10" customFormat="1" ht="14.45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s">
        <v>62</v>
      </c>
      <c r="R6" s="7" t="s">
        <v>62</v>
      </c>
      <c r="S6" s="7" t="s">
        <v>62</v>
      </c>
      <c r="T6" s="7" t="s">
        <v>62</v>
      </c>
      <c r="U6" s="7" t="s">
        <v>62</v>
      </c>
      <c r="V6" s="7"/>
      <c r="W6" s="7"/>
      <c r="X6" s="7"/>
      <c r="Y6" s="7"/>
      <c r="Z6" s="7"/>
      <c r="AA6" s="7"/>
      <c r="AB6" s="7"/>
      <c r="AC6" s="7"/>
      <c r="AD6" s="7"/>
      <c r="AE6" s="7" t="s">
        <v>62</v>
      </c>
      <c r="AF6" s="7" t="s">
        <v>62</v>
      </c>
      <c r="AG6" s="11">
        <f>COUNTA(tblJanvier[[#This Row],[1]:[31]])</f>
        <v>7</v>
      </c>
      <c r="AH6" s="9"/>
    </row>
    <row r="7" spans="1:34" s="1" customFormat="1" ht="14.45" x14ac:dyDescent="0.3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 t="s">
        <v>62</v>
      </c>
      <c r="R7" s="7" t="s">
        <v>62</v>
      </c>
      <c r="S7" s="7" t="s">
        <v>62</v>
      </c>
      <c r="T7" s="7" t="s">
        <v>62</v>
      </c>
      <c r="U7" s="7" t="s">
        <v>62</v>
      </c>
      <c r="V7" s="7"/>
      <c r="W7" s="7"/>
      <c r="X7" s="7"/>
      <c r="Y7" s="7"/>
      <c r="Z7" s="7"/>
      <c r="AA7" s="7"/>
      <c r="AB7" s="7"/>
      <c r="AC7" s="7"/>
      <c r="AD7" s="7"/>
      <c r="AE7" s="7" t="s">
        <v>62</v>
      </c>
      <c r="AF7" s="7" t="s">
        <v>62</v>
      </c>
      <c r="AG7" s="11">
        <f>COUNTA(tblJanvier[[#This Row],[1]:[31]])</f>
        <v>7</v>
      </c>
      <c r="AH7" s="2"/>
    </row>
    <row r="8" spans="1:34" s="1" customFormat="1" ht="14.45" x14ac:dyDescent="0.3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COUNTA(tblJanvier[[#This Row],[1]:[31]])</f>
        <v>0</v>
      </c>
      <c r="AH8" s="2"/>
    </row>
    <row r="9" spans="1:34" s="1" customFormat="1" ht="14.45" x14ac:dyDescent="0.3">
      <c r="A9" s="43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s">
        <v>62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COUNTA(tblJanvier[[#This Row],[1]:[31]])</f>
        <v>1</v>
      </c>
      <c r="AH9" s="2"/>
    </row>
    <row r="10" spans="1:34" s="1" customFormat="1" ht="14.45" x14ac:dyDescent="0.3">
      <c r="A10" s="44" t="s">
        <v>60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1">
        <f>COUNTA(tblJanvier[[#This Row],[1]:[31]])</f>
        <v>0</v>
      </c>
      <c r="AH10" s="2"/>
    </row>
    <row r="11" spans="1:34" customFormat="1" ht="14.45" x14ac:dyDescent="0.3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</row>
    <row r="12" spans="1:34" customFormat="1" x14ac:dyDescent="0.25">
      <c r="A12" s="8"/>
      <c r="B12" s="38" t="s">
        <v>37</v>
      </c>
      <c r="C12" s="38"/>
      <c r="D12" s="38"/>
      <c r="E12" s="38"/>
      <c r="F12" s="39"/>
      <c r="G12" s="23" t="s">
        <v>32</v>
      </c>
      <c r="H12" s="35" t="s">
        <v>56</v>
      </c>
      <c r="I12" s="36"/>
      <c r="J12" s="36"/>
      <c r="K12" s="19" t="s">
        <v>61</v>
      </c>
      <c r="L12" s="35" t="s">
        <v>57</v>
      </c>
      <c r="M12" s="36"/>
      <c r="N12" s="36"/>
      <c r="O12" s="20" t="s">
        <v>62</v>
      </c>
      <c r="P12" s="35" t="s">
        <v>58</v>
      </c>
      <c r="Q12" s="36"/>
      <c r="R12" s="36"/>
      <c r="S12" s="21" t="s">
        <v>63</v>
      </c>
      <c r="T12" s="40" t="s">
        <v>59</v>
      </c>
      <c r="U12" s="37"/>
      <c r="V12" s="36"/>
      <c r="W12" s="22"/>
      <c r="X12" s="40" t="s">
        <v>36</v>
      </c>
      <c r="Y12" s="36"/>
      <c r="Z12" s="37"/>
      <c r="AA12" s="13"/>
      <c r="AB12" s="13"/>
      <c r="AC12" s="13"/>
      <c r="AD12" s="13"/>
      <c r="AE12" s="13"/>
      <c r="AF12" s="13"/>
      <c r="AG12" s="12"/>
    </row>
    <row r="13" spans="1:34" customFormat="1" ht="14.45" x14ac:dyDescent="0.3">
      <c r="J13" s="14"/>
      <c r="K13" s="14"/>
    </row>
    <row r="14" spans="1:34" customFormat="1" ht="14.45" x14ac:dyDescent="0.3"/>
    <row r="15" spans="1:34" customFormat="1" ht="14.45" x14ac:dyDescent="0.3"/>
    <row r="16" spans="1:34" customFormat="1" ht="15" customHeight="1" x14ac:dyDescent="0.25">
      <c r="Q16" s="56" t="s">
        <v>67</v>
      </c>
      <c r="R16" s="56"/>
      <c r="S16" s="56"/>
      <c r="T16" s="56"/>
      <c r="U16" s="56"/>
      <c r="AE16" s="56" t="s">
        <v>67</v>
      </c>
      <c r="AF16" s="56"/>
    </row>
    <row r="17" spans="17:32" customFormat="1" ht="15" customHeight="1" x14ac:dyDescent="0.3">
      <c r="Q17" s="57"/>
      <c r="R17" s="57"/>
      <c r="S17" s="57"/>
      <c r="T17" s="57"/>
      <c r="U17" s="57"/>
      <c r="AE17" s="57"/>
      <c r="AF17" s="57"/>
    </row>
    <row r="18" spans="17:32" customFormat="1" ht="15" customHeight="1" x14ac:dyDescent="0.3"/>
    <row r="19" spans="17:32" customFormat="1" ht="15" customHeight="1" x14ac:dyDescent="0.3">
      <c r="Q19" s="59" t="s">
        <v>73</v>
      </c>
    </row>
    <row r="20" spans="17:32" customFormat="1" ht="15" customHeight="1" x14ac:dyDescent="0.3"/>
    <row r="21" spans="17:32" customFormat="1" ht="15" customHeight="1" x14ac:dyDescent="0.3"/>
    <row r="22" spans="17:32" customFormat="1" ht="15" customHeight="1" x14ac:dyDescent="0.3"/>
    <row r="23" spans="17:32" customFormat="1" ht="15" customHeight="1" x14ac:dyDescent="0.3"/>
    <row r="24" spans="17:32" customFormat="1" ht="15" customHeight="1" x14ac:dyDescent="0.3"/>
    <row r="25" spans="17:32" customFormat="1" ht="15" customHeight="1" x14ac:dyDescent="0.3"/>
    <row r="26" spans="17:32" customFormat="1" ht="15" customHeight="1" x14ac:dyDescent="0.3"/>
    <row r="27" spans="17:32" customFormat="1" ht="15" customHeight="1" x14ac:dyDescent="0.3"/>
    <row r="28" spans="17:32" customFormat="1" ht="15" customHeight="1" x14ac:dyDescent="0.3"/>
    <row r="29" spans="17:32" customFormat="1" ht="15" customHeight="1" x14ac:dyDescent="0.3"/>
    <row r="30" spans="17:32" customFormat="1" ht="15" customHeight="1" x14ac:dyDescent="0.3"/>
    <row r="31" spans="17:32" customFormat="1" ht="15" customHeight="1" x14ac:dyDescent="0.3"/>
    <row r="32" spans="17:32" customFormat="1" ht="15" customHeight="1" x14ac:dyDescent="0.3"/>
    <row r="33" customFormat="1" ht="15" customHeight="1" x14ac:dyDescent="0.3"/>
    <row r="34" customFormat="1" ht="15" customHeight="1" x14ac:dyDescent="0.3"/>
    <row r="35" customFormat="1" ht="15" customHeight="1" x14ac:dyDescent="0.3"/>
    <row r="36" customFormat="1" ht="15" customHeight="1" x14ac:dyDescent="0.3"/>
    <row r="37" customFormat="1" ht="15" customHeight="1" x14ac:dyDescent="0.3"/>
    <row r="38" customFormat="1" ht="15" customHeight="1" x14ac:dyDescent="0.3"/>
    <row r="39" customFormat="1" ht="15" customHeight="1" x14ac:dyDescent="0.3"/>
    <row r="40" customFormat="1" ht="15" customHeight="1" x14ac:dyDescent="0.3"/>
    <row r="41" customFormat="1" ht="15" customHeight="1" x14ac:dyDescent="0.25"/>
    <row r="42" customFormat="1" ht="15" customHeigh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5" customHeight="1" x14ac:dyDescent="0.25"/>
    <row r="57" customFormat="1" ht="15" customHeight="1" x14ac:dyDescent="0.25"/>
    <row r="58" customFormat="1" ht="1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5" customHeight="1" x14ac:dyDescent="0.25"/>
    <row r="160" customFormat="1" ht="15" customHeight="1" x14ac:dyDescent="0.25"/>
    <row r="161" customFormat="1" ht="15" customHeight="1" x14ac:dyDescent="0.25"/>
    <row r="162" customFormat="1" ht="15" customHeight="1" x14ac:dyDescent="0.25"/>
    <row r="163" customFormat="1" ht="15" customHeight="1" x14ac:dyDescent="0.25"/>
    <row r="164" customFormat="1" ht="15" customHeight="1" x14ac:dyDescent="0.25"/>
    <row r="165" customFormat="1" ht="15" customHeight="1" x14ac:dyDescent="0.25"/>
    <row r="166" customFormat="1" ht="15" customHeight="1" x14ac:dyDescent="0.25"/>
    <row r="167" customFormat="1" ht="15" customHeight="1" x14ac:dyDescent="0.25"/>
    <row r="168" customFormat="1" ht="15" customHeight="1" x14ac:dyDescent="0.25"/>
    <row r="169" customFormat="1" ht="15" customHeight="1" x14ac:dyDescent="0.25"/>
    <row r="170" customFormat="1" ht="15" customHeight="1" x14ac:dyDescent="0.25"/>
    <row r="171" customFormat="1" ht="15" customHeight="1" x14ac:dyDescent="0.25"/>
    <row r="172" customFormat="1" ht="15" customHeight="1" x14ac:dyDescent="0.25"/>
    <row r="173" customFormat="1" ht="15" customHeight="1" x14ac:dyDescent="0.25"/>
    <row r="174" customFormat="1" ht="15" customHeight="1" x14ac:dyDescent="0.25"/>
    <row r="175" customFormat="1" ht="15" customHeight="1" x14ac:dyDescent="0.25"/>
    <row r="176" customFormat="1" ht="15" customHeight="1" x14ac:dyDescent="0.25"/>
    <row r="177" customFormat="1" ht="15" customHeight="1" x14ac:dyDescent="0.25"/>
    <row r="178" customFormat="1" ht="15" customHeight="1" x14ac:dyDescent="0.25"/>
    <row r="179" customFormat="1" ht="15" customHeight="1" x14ac:dyDescent="0.25"/>
    <row r="180" customFormat="1" ht="15" customHeight="1" x14ac:dyDescent="0.25"/>
    <row r="181" customFormat="1" ht="15" customHeight="1" x14ac:dyDescent="0.25"/>
    <row r="182" customFormat="1" ht="15" customHeight="1" x14ac:dyDescent="0.25"/>
    <row r="183" customFormat="1" ht="15" customHeight="1" x14ac:dyDescent="0.25"/>
    <row r="184" customFormat="1" ht="15" customHeight="1" x14ac:dyDescent="0.25"/>
    <row r="185" customFormat="1" ht="15" customHeight="1" x14ac:dyDescent="0.25"/>
    <row r="186" customFormat="1" ht="15" customHeight="1" x14ac:dyDescent="0.25"/>
    <row r="187" customFormat="1" ht="15" customHeight="1" x14ac:dyDescent="0.25"/>
    <row r="188" customFormat="1" ht="15" customHeight="1" x14ac:dyDescent="0.25"/>
    <row r="189" customFormat="1" ht="15" customHeight="1" x14ac:dyDescent="0.25"/>
    <row r="190" customFormat="1" ht="15" customHeight="1" x14ac:dyDescent="0.25"/>
    <row r="191" customFormat="1" ht="15" customHeight="1" x14ac:dyDescent="0.25"/>
    <row r="192" customFormat="1" ht="15" customHeight="1" x14ac:dyDescent="0.25"/>
    <row r="193" customFormat="1" ht="15" customHeight="1" x14ac:dyDescent="0.25"/>
    <row r="194" customFormat="1" ht="15" customHeight="1" x14ac:dyDescent="0.25"/>
    <row r="195" customFormat="1" ht="15" customHeight="1" x14ac:dyDescent="0.25"/>
    <row r="196" customFormat="1" ht="15" customHeight="1" x14ac:dyDescent="0.25"/>
    <row r="197" customFormat="1" ht="15" customHeight="1" x14ac:dyDescent="0.25"/>
    <row r="198" customFormat="1" ht="15" customHeight="1" x14ac:dyDescent="0.25"/>
    <row r="199" customFormat="1" ht="15" customHeight="1" x14ac:dyDescent="0.25"/>
    <row r="200" customFormat="1" ht="15" customHeight="1" x14ac:dyDescent="0.25"/>
    <row r="201" customFormat="1" ht="15" customHeight="1" x14ac:dyDescent="0.25"/>
    <row r="202" customFormat="1" ht="15" customHeight="1" x14ac:dyDescent="0.25"/>
    <row r="203" customFormat="1" ht="15" customHeight="1" x14ac:dyDescent="0.25"/>
    <row r="204" customFormat="1" ht="15" customHeight="1" x14ac:dyDescent="0.25"/>
    <row r="205" customFormat="1" ht="15" customHeight="1" x14ac:dyDescent="0.25"/>
    <row r="206" customFormat="1" ht="15" customHeight="1" x14ac:dyDescent="0.25"/>
    <row r="207" customFormat="1" ht="15" customHeight="1" x14ac:dyDescent="0.25"/>
    <row r="208" customFormat="1" ht="15" customHeight="1" x14ac:dyDescent="0.25"/>
    <row r="209" customFormat="1" ht="15" customHeight="1" x14ac:dyDescent="0.25"/>
    <row r="210" customFormat="1" ht="15" customHeight="1" x14ac:dyDescent="0.25"/>
    <row r="211" customFormat="1" ht="15" customHeight="1" x14ac:dyDescent="0.25"/>
    <row r="212" customFormat="1" ht="15" customHeight="1" x14ac:dyDescent="0.25"/>
    <row r="213" customFormat="1" ht="15" customHeight="1" x14ac:dyDescent="0.25"/>
    <row r="214" customFormat="1" ht="15" customHeight="1" x14ac:dyDescent="0.25"/>
    <row r="215" customFormat="1" ht="15" customHeight="1" x14ac:dyDescent="0.25"/>
    <row r="216" customFormat="1" ht="15" customHeight="1" x14ac:dyDescent="0.25"/>
    <row r="217" customFormat="1" ht="15" customHeight="1" x14ac:dyDescent="0.25"/>
    <row r="218" customFormat="1" ht="15" customHeight="1" x14ac:dyDescent="0.25"/>
    <row r="219" customFormat="1" ht="15" customHeight="1" x14ac:dyDescent="0.25"/>
    <row r="220" customFormat="1" ht="15" customHeight="1" x14ac:dyDescent="0.25"/>
    <row r="221" customFormat="1" ht="15" customHeight="1" x14ac:dyDescent="0.25"/>
    <row r="222" customFormat="1" ht="15" customHeight="1" x14ac:dyDescent="0.25"/>
    <row r="223" customFormat="1" ht="15" customHeight="1" x14ac:dyDescent="0.25"/>
    <row r="224" customFormat="1" ht="15" customHeight="1" x14ac:dyDescent="0.25"/>
    <row r="225" customFormat="1" ht="15" customHeight="1" x14ac:dyDescent="0.25"/>
    <row r="226" customFormat="1" ht="15" customHeight="1" x14ac:dyDescent="0.25"/>
    <row r="227" customFormat="1" ht="15" customHeight="1" x14ac:dyDescent="0.25"/>
    <row r="228" customFormat="1" ht="15" customHeight="1" x14ac:dyDescent="0.25"/>
    <row r="229" customFormat="1" ht="15" customHeight="1" x14ac:dyDescent="0.25"/>
    <row r="230" customFormat="1" ht="15" customHeight="1" x14ac:dyDescent="0.25"/>
    <row r="231" customFormat="1" ht="15" customHeight="1" x14ac:dyDescent="0.25"/>
    <row r="232" customFormat="1" ht="15" customHeight="1" x14ac:dyDescent="0.25"/>
    <row r="233" customFormat="1" ht="15" customHeight="1" x14ac:dyDescent="0.25"/>
    <row r="234" customFormat="1" ht="15" customHeight="1" x14ac:dyDescent="0.25"/>
    <row r="235" customFormat="1" ht="15" customHeight="1" x14ac:dyDescent="0.25"/>
    <row r="236" customFormat="1" ht="15" customHeight="1" x14ac:dyDescent="0.25"/>
    <row r="237" customFormat="1" ht="15" customHeight="1" x14ac:dyDescent="0.25"/>
    <row r="238" customFormat="1" ht="15" customHeight="1" x14ac:dyDescent="0.25"/>
    <row r="239" customFormat="1" ht="15" customHeight="1" x14ac:dyDescent="0.25"/>
    <row r="240" customFormat="1" ht="15" customHeight="1" x14ac:dyDescent="0.25"/>
    <row r="241" customFormat="1" ht="15" customHeight="1" x14ac:dyDescent="0.25"/>
    <row r="242" customFormat="1" ht="15" customHeight="1" x14ac:dyDescent="0.25"/>
    <row r="243" customFormat="1" ht="15" customHeight="1" x14ac:dyDescent="0.25"/>
    <row r="244" customFormat="1" ht="15" customHeight="1" x14ac:dyDescent="0.25"/>
    <row r="245" customFormat="1" ht="15" customHeight="1" x14ac:dyDescent="0.25"/>
    <row r="246" customFormat="1" ht="15" customHeight="1" x14ac:dyDescent="0.25"/>
    <row r="247" customFormat="1" ht="15" customHeight="1" x14ac:dyDescent="0.25"/>
    <row r="248" customFormat="1" ht="15" customHeight="1" x14ac:dyDescent="0.25"/>
    <row r="249" customFormat="1" ht="15" customHeight="1" x14ac:dyDescent="0.25"/>
    <row r="250" customFormat="1" ht="15" customHeight="1" x14ac:dyDescent="0.25"/>
    <row r="251" customFormat="1" ht="15" customHeight="1" x14ac:dyDescent="0.25"/>
    <row r="252" customFormat="1" ht="15" customHeight="1" x14ac:dyDescent="0.25"/>
    <row r="253" customFormat="1" ht="15" customHeight="1" x14ac:dyDescent="0.25"/>
    <row r="254" customFormat="1" ht="15" customHeight="1" x14ac:dyDescent="0.25"/>
    <row r="255" customFormat="1" ht="15" customHeight="1" x14ac:dyDescent="0.25"/>
    <row r="256" customFormat="1" ht="15" customHeight="1" x14ac:dyDescent="0.25"/>
    <row r="257" customFormat="1" ht="15" customHeight="1" x14ac:dyDescent="0.25"/>
    <row r="258" customFormat="1" ht="15" customHeight="1" x14ac:dyDescent="0.25"/>
    <row r="259" customFormat="1" ht="15" customHeight="1" x14ac:dyDescent="0.25"/>
    <row r="260" customFormat="1" ht="15" customHeight="1" x14ac:dyDescent="0.25"/>
    <row r="261" customFormat="1" ht="15" customHeight="1" x14ac:dyDescent="0.25"/>
    <row r="262" customFormat="1" ht="15" customHeight="1" x14ac:dyDescent="0.25"/>
    <row r="263" customFormat="1" ht="15" customHeight="1" x14ac:dyDescent="0.25"/>
    <row r="264" customFormat="1" ht="15" customHeight="1" x14ac:dyDescent="0.25"/>
    <row r="265" customFormat="1" ht="15" customHeight="1" x14ac:dyDescent="0.25"/>
    <row r="266" customFormat="1" ht="15" customHeight="1" x14ac:dyDescent="0.25"/>
    <row r="267" customFormat="1" ht="15" customHeight="1" x14ac:dyDescent="0.25"/>
    <row r="268" customFormat="1" ht="15" customHeight="1" x14ac:dyDescent="0.25"/>
    <row r="269" customFormat="1" ht="15" customHeight="1" x14ac:dyDescent="0.25"/>
    <row r="270" customFormat="1" ht="15" customHeight="1" x14ac:dyDescent="0.25"/>
    <row r="271" customFormat="1" ht="15" customHeight="1" x14ac:dyDescent="0.25"/>
    <row r="272" customFormat="1" ht="15" customHeight="1" x14ac:dyDescent="0.25"/>
    <row r="273" customFormat="1" ht="15" customHeight="1" x14ac:dyDescent="0.25"/>
    <row r="274" customFormat="1" ht="15" customHeight="1" x14ac:dyDescent="0.25"/>
    <row r="275" customFormat="1" ht="15" customHeight="1" x14ac:dyDescent="0.25"/>
    <row r="276" customFormat="1" ht="15" customHeight="1" x14ac:dyDescent="0.25"/>
    <row r="277" customFormat="1" ht="15" customHeight="1" x14ac:dyDescent="0.25"/>
    <row r="278" customFormat="1" ht="15" customHeight="1" x14ac:dyDescent="0.25"/>
    <row r="279" customFormat="1" ht="15" customHeight="1" x14ac:dyDescent="0.25"/>
    <row r="280" customFormat="1" ht="15" customHeight="1" x14ac:dyDescent="0.25"/>
    <row r="281" customFormat="1" ht="15" customHeight="1" x14ac:dyDescent="0.25"/>
    <row r="282" customFormat="1" ht="15" customHeight="1" x14ac:dyDescent="0.25"/>
    <row r="283" customFormat="1" ht="15" customHeight="1" x14ac:dyDescent="0.25"/>
    <row r="284" customFormat="1" ht="15" customHeight="1" x14ac:dyDescent="0.25"/>
    <row r="285" customFormat="1" ht="15" customHeight="1" x14ac:dyDescent="0.25"/>
    <row r="286" customFormat="1" ht="15" customHeight="1" x14ac:dyDescent="0.25"/>
    <row r="287" customFormat="1" ht="15" customHeight="1" x14ac:dyDescent="0.25"/>
    <row r="288" customFormat="1" ht="15" customHeight="1" x14ac:dyDescent="0.25"/>
    <row r="289" customFormat="1" ht="15" customHeight="1" x14ac:dyDescent="0.25"/>
    <row r="290" customFormat="1" ht="15" customHeight="1" x14ac:dyDescent="0.25"/>
    <row r="291" customFormat="1" ht="15" customHeight="1" x14ac:dyDescent="0.25"/>
    <row r="292" customFormat="1" ht="15" customHeight="1" x14ac:dyDescent="0.25"/>
    <row r="293" customFormat="1" ht="15" customHeight="1" x14ac:dyDescent="0.25"/>
    <row r="294" customFormat="1" ht="15" customHeight="1" x14ac:dyDescent="0.25"/>
    <row r="295" customFormat="1" ht="15" customHeight="1" x14ac:dyDescent="0.25"/>
    <row r="296" customFormat="1" ht="15" customHeight="1" x14ac:dyDescent="0.25"/>
    <row r="297" customFormat="1" ht="15" customHeight="1" x14ac:dyDescent="0.25"/>
    <row r="298" customFormat="1" ht="15" customHeight="1" x14ac:dyDescent="0.25"/>
    <row r="299" customFormat="1" ht="15" customHeight="1" x14ac:dyDescent="0.25"/>
    <row r="300" customFormat="1" ht="15" customHeight="1" x14ac:dyDescent="0.25"/>
    <row r="301" customFormat="1" ht="15" customHeight="1" x14ac:dyDescent="0.25"/>
    <row r="302" customFormat="1" ht="15" customHeight="1" x14ac:dyDescent="0.25"/>
    <row r="303" customFormat="1" ht="15" customHeight="1" x14ac:dyDescent="0.25"/>
    <row r="304" customFormat="1" ht="15" customHeight="1" x14ac:dyDescent="0.25"/>
    <row r="305" customFormat="1" ht="15" customHeight="1" x14ac:dyDescent="0.25"/>
    <row r="306" customFormat="1" ht="15" customHeight="1" x14ac:dyDescent="0.25"/>
    <row r="307" customFormat="1" ht="15" customHeight="1" x14ac:dyDescent="0.25"/>
    <row r="308" customFormat="1" ht="15" customHeight="1" x14ac:dyDescent="0.25"/>
    <row r="309" customFormat="1" ht="15" customHeight="1" x14ac:dyDescent="0.25"/>
    <row r="310" customFormat="1" ht="15" customHeight="1" x14ac:dyDescent="0.25"/>
    <row r="311" customFormat="1" ht="15" customHeight="1" x14ac:dyDescent="0.25"/>
    <row r="312" customFormat="1" ht="15" customHeight="1" x14ac:dyDescent="0.25"/>
    <row r="313" customFormat="1" ht="15" customHeight="1" x14ac:dyDescent="0.25"/>
    <row r="314" customFormat="1" ht="15" customHeight="1" x14ac:dyDescent="0.25"/>
    <row r="315" customFormat="1" ht="15" customHeight="1" x14ac:dyDescent="0.25"/>
    <row r="316" customFormat="1" ht="15" customHeight="1" x14ac:dyDescent="0.25"/>
    <row r="317" customFormat="1" ht="15" customHeight="1" x14ac:dyDescent="0.25"/>
    <row r="318" customFormat="1" ht="15" customHeight="1" x14ac:dyDescent="0.25"/>
    <row r="319" customFormat="1" ht="15" customHeight="1" x14ac:dyDescent="0.25"/>
    <row r="320" customFormat="1" ht="15" customHeight="1" x14ac:dyDescent="0.25"/>
    <row r="321" customFormat="1" ht="15" customHeight="1" x14ac:dyDescent="0.25"/>
    <row r="322" customFormat="1" ht="15" customHeight="1" x14ac:dyDescent="0.25"/>
    <row r="323" customFormat="1" ht="15" customHeight="1" x14ac:dyDescent="0.25"/>
    <row r="324" customFormat="1" ht="15" customHeight="1" x14ac:dyDescent="0.25"/>
    <row r="325" customFormat="1" ht="15" customHeight="1" x14ac:dyDescent="0.25"/>
    <row r="326" customFormat="1" ht="15" customHeight="1" x14ac:dyDescent="0.25"/>
    <row r="327" customFormat="1" ht="15" customHeight="1" x14ac:dyDescent="0.25"/>
    <row r="328" customFormat="1" ht="15" customHeight="1" x14ac:dyDescent="0.25"/>
    <row r="329" customFormat="1" ht="15" customHeight="1" x14ac:dyDescent="0.25"/>
    <row r="330" customFormat="1" ht="15" customHeight="1" x14ac:dyDescent="0.25"/>
    <row r="331" customFormat="1" ht="15" customHeight="1" x14ac:dyDescent="0.25"/>
    <row r="332" customFormat="1" ht="15" customHeight="1" x14ac:dyDescent="0.25"/>
    <row r="333" customFormat="1" ht="15" customHeight="1" x14ac:dyDescent="0.25"/>
    <row r="334" customFormat="1" ht="15" customHeight="1" x14ac:dyDescent="0.25"/>
    <row r="335" customFormat="1" ht="15" customHeight="1" x14ac:dyDescent="0.25"/>
    <row r="336" customFormat="1" ht="15" customHeight="1" x14ac:dyDescent="0.25"/>
    <row r="337" customFormat="1" ht="15" customHeight="1" x14ac:dyDescent="0.25"/>
    <row r="338" customFormat="1" ht="15" customHeight="1" x14ac:dyDescent="0.25"/>
    <row r="339" customFormat="1" ht="15" customHeight="1" x14ac:dyDescent="0.25"/>
    <row r="340" customFormat="1" ht="15" customHeight="1" x14ac:dyDescent="0.25"/>
    <row r="341" customFormat="1" ht="15" customHeight="1" x14ac:dyDescent="0.25"/>
    <row r="342" customFormat="1" ht="15" customHeight="1" x14ac:dyDescent="0.25"/>
    <row r="343" customFormat="1" ht="15" customHeight="1" x14ac:dyDescent="0.25"/>
    <row r="344" customFormat="1" ht="15" customHeight="1" x14ac:dyDescent="0.25"/>
    <row r="345" customFormat="1" ht="15" customHeight="1" x14ac:dyDescent="0.25"/>
    <row r="346" customFormat="1" ht="15" customHeight="1" x14ac:dyDescent="0.25"/>
    <row r="347" customFormat="1" ht="15" customHeight="1" x14ac:dyDescent="0.25"/>
    <row r="348" customFormat="1" ht="15" customHeight="1" x14ac:dyDescent="0.25"/>
    <row r="349" customFormat="1" ht="15" customHeight="1" x14ac:dyDescent="0.25"/>
    <row r="350" customFormat="1" ht="15" customHeight="1" x14ac:dyDescent="0.25"/>
    <row r="351" customFormat="1" ht="15" customHeight="1" x14ac:dyDescent="0.25"/>
    <row r="352" customFormat="1" ht="15" customHeight="1" x14ac:dyDescent="0.25"/>
    <row r="353" customFormat="1" ht="15" customHeight="1" x14ac:dyDescent="0.25"/>
    <row r="354" customFormat="1" ht="15" customHeight="1" x14ac:dyDescent="0.25"/>
    <row r="355" customFormat="1" ht="15" customHeight="1" x14ac:dyDescent="0.25"/>
    <row r="356" customFormat="1" ht="15" customHeight="1" x14ac:dyDescent="0.25"/>
    <row r="357" customFormat="1" ht="15" customHeight="1" x14ac:dyDescent="0.25"/>
    <row r="358" customFormat="1" ht="15" customHeight="1" x14ac:dyDescent="0.25"/>
    <row r="359" customFormat="1" ht="15" customHeight="1" x14ac:dyDescent="0.25"/>
    <row r="360" customFormat="1" ht="15" customHeight="1" x14ac:dyDescent="0.25"/>
    <row r="361" customFormat="1" ht="15" customHeight="1" x14ac:dyDescent="0.25"/>
    <row r="362" customFormat="1" ht="15" customHeight="1" x14ac:dyDescent="0.25"/>
    <row r="363" customFormat="1" ht="15" customHeight="1" x14ac:dyDescent="0.25"/>
    <row r="364" customFormat="1" ht="15" customHeight="1" x14ac:dyDescent="0.25"/>
    <row r="365" customFormat="1" ht="15" customHeight="1" x14ac:dyDescent="0.25"/>
    <row r="366" customFormat="1" ht="15" customHeight="1" x14ac:dyDescent="0.25"/>
    <row r="367" customFormat="1" ht="15" customHeight="1" x14ac:dyDescent="0.25"/>
    <row r="368" customFormat="1" ht="15" customHeight="1" x14ac:dyDescent="0.25"/>
    <row r="369" customFormat="1" ht="15" customHeight="1" x14ac:dyDescent="0.25"/>
    <row r="370" customFormat="1" ht="15" customHeight="1" x14ac:dyDescent="0.25"/>
    <row r="371" customFormat="1" ht="15" customHeight="1" x14ac:dyDescent="0.25"/>
    <row r="372" customFormat="1" ht="15" customHeight="1" x14ac:dyDescent="0.25"/>
    <row r="373" customFormat="1" ht="15" customHeight="1" x14ac:dyDescent="0.25"/>
    <row r="374" customFormat="1" ht="15" customHeight="1" x14ac:dyDescent="0.25"/>
    <row r="375" customFormat="1" ht="15" customHeight="1" x14ac:dyDescent="0.25"/>
    <row r="376" customFormat="1" ht="15" customHeight="1" x14ac:dyDescent="0.25"/>
    <row r="377" customFormat="1" ht="15" customHeight="1" x14ac:dyDescent="0.25"/>
    <row r="378" customFormat="1" ht="15" customHeight="1" x14ac:dyDescent="0.25"/>
    <row r="379" customFormat="1" ht="15" customHeight="1" x14ac:dyDescent="0.25"/>
    <row r="380" customFormat="1" ht="15" customHeight="1" x14ac:dyDescent="0.25"/>
    <row r="381" customFormat="1" ht="15" customHeight="1" x14ac:dyDescent="0.25"/>
    <row r="382" customFormat="1" ht="15" customHeight="1" x14ac:dyDescent="0.25"/>
    <row r="383" customFormat="1" ht="15" customHeight="1" x14ac:dyDescent="0.25"/>
    <row r="384" customFormat="1" ht="15" customHeight="1" x14ac:dyDescent="0.25"/>
    <row r="385" customFormat="1" ht="15" customHeight="1" x14ac:dyDescent="0.25"/>
    <row r="386" customFormat="1" ht="15" customHeight="1" x14ac:dyDescent="0.25"/>
    <row r="387" customFormat="1" ht="15" customHeight="1" x14ac:dyDescent="0.25"/>
    <row r="388" customFormat="1" ht="15" customHeight="1" x14ac:dyDescent="0.25"/>
    <row r="389" customFormat="1" ht="15" customHeight="1" x14ac:dyDescent="0.25"/>
    <row r="390" customFormat="1" ht="15" customHeight="1" x14ac:dyDescent="0.25"/>
    <row r="391" customFormat="1" ht="15" customHeight="1" x14ac:dyDescent="0.25"/>
    <row r="392" customFormat="1" ht="15" customHeight="1" x14ac:dyDescent="0.25"/>
    <row r="393" customFormat="1" ht="15" customHeight="1" x14ac:dyDescent="0.25"/>
    <row r="394" customFormat="1" ht="15" customHeight="1" x14ac:dyDescent="0.25"/>
    <row r="395" customFormat="1" ht="15" customHeight="1" x14ac:dyDescent="0.25"/>
    <row r="396" customFormat="1" ht="15" customHeight="1" x14ac:dyDescent="0.25"/>
    <row r="397" customFormat="1" ht="15" customHeight="1" x14ac:dyDescent="0.25"/>
    <row r="398" customFormat="1" ht="15" customHeight="1" x14ac:dyDescent="0.25"/>
    <row r="399" customFormat="1" ht="15" customHeight="1" x14ac:dyDescent="0.25"/>
    <row r="400" customFormat="1" ht="15" customHeight="1" x14ac:dyDescent="0.25"/>
    <row r="401" customFormat="1" ht="15" customHeight="1" x14ac:dyDescent="0.25"/>
    <row r="402" customFormat="1" ht="15" customHeight="1" x14ac:dyDescent="0.25"/>
    <row r="403" customFormat="1" ht="15" customHeight="1" x14ac:dyDescent="0.25"/>
    <row r="404" customFormat="1" ht="15" customHeight="1" x14ac:dyDescent="0.25"/>
    <row r="405" customFormat="1" ht="15" customHeight="1" x14ac:dyDescent="0.25"/>
    <row r="406" customFormat="1" ht="15" customHeight="1" x14ac:dyDescent="0.25"/>
    <row r="407" customFormat="1" ht="15" customHeight="1" x14ac:dyDescent="0.25"/>
    <row r="408" customFormat="1" ht="15" customHeight="1" x14ac:dyDescent="0.25"/>
    <row r="409" customFormat="1" ht="15" customHeight="1" x14ac:dyDescent="0.25"/>
    <row r="410" customFormat="1" ht="15" customHeight="1" x14ac:dyDescent="0.25"/>
    <row r="411" customFormat="1" ht="15" customHeight="1" x14ac:dyDescent="0.25"/>
    <row r="412" customFormat="1" ht="15" customHeight="1" x14ac:dyDescent="0.25"/>
    <row r="413" customFormat="1" ht="15" customHeight="1" x14ac:dyDescent="0.25"/>
    <row r="414" customFormat="1" ht="15" customHeight="1" x14ac:dyDescent="0.25"/>
    <row r="415" customFormat="1" ht="15" customHeight="1" x14ac:dyDescent="0.25"/>
    <row r="416" customFormat="1" ht="15" customHeight="1" x14ac:dyDescent="0.25"/>
    <row r="417" customFormat="1" ht="15" customHeight="1" x14ac:dyDescent="0.25"/>
    <row r="418" customFormat="1" ht="15" customHeight="1" x14ac:dyDescent="0.25"/>
    <row r="419" customFormat="1" ht="15" customHeight="1" x14ac:dyDescent="0.25"/>
    <row r="420" customFormat="1" ht="15" customHeight="1" x14ac:dyDescent="0.25"/>
    <row r="421" customFormat="1" ht="15" customHeight="1" x14ac:dyDescent="0.25"/>
    <row r="422" customFormat="1" ht="15" customHeight="1" x14ac:dyDescent="0.25"/>
    <row r="423" customFormat="1" ht="15" customHeight="1" x14ac:dyDescent="0.25"/>
    <row r="424" customFormat="1" ht="15" customHeight="1" x14ac:dyDescent="0.25"/>
    <row r="425" customFormat="1" ht="15" customHeight="1" x14ac:dyDescent="0.25"/>
    <row r="426" customFormat="1" ht="15" customHeight="1" x14ac:dyDescent="0.25"/>
    <row r="427" customFormat="1" ht="15" customHeight="1" x14ac:dyDescent="0.25"/>
    <row r="428" customFormat="1" ht="15" customHeight="1" x14ac:dyDescent="0.25"/>
    <row r="429" customFormat="1" ht="15" customHeight="1" x14ac:dyDescent="0.25"/>
    <row r="430" customFormat="1" ht="15" customHeight="1" x14ac:dyDescent="0.25"/>
    <row r="431" customFormat="1" ht="15" customHeight="1" x14ac:dyDescent="0.25"/>
    <row r="432" customFormat="1" ht="15" customHeight="1" x14ac:dyDescent="0.25"/>
    <row r="433" customFormat="1" ht="15" customHeight="1" x14ac:dyDescent="0.25"/>
    <row r="434" customFormat="1" ht="15" customHeight="1" x14ac:dyDescent="0.25"/>
    <row r="435" customFormat="1" ht="15" customHeight="1" x14ac:dyDescent="0.25"/>
    <row r="436" customFormat="1" ht="15" customHeight="1" x14ac:dyDescent="0.25"/>
    <row r="437" customFormat="1" ht="15" customHeight="1" x14ac:dyDescent="0.25"/>
    <row r="438" customFormat="1" ht="15" customHeight="1" x14ac:dyDescent="0.25"/>
    <row r="439" customFormat="1" ht="15" customHeight="1" x14ac:dyDescent="0.25"/>
    <row r="440" customFormat="1" ht="15" customHeight="1" x14ac:dyDescent="0.25"/>
    <row r="441" customFormat="1" ht="15" customHeight="1" x14ac:dyDescent="0.25"/>
    <row r="442" customFormat="1" ht="15" customHeight="1" x14ac:dyDescent="0.25"/>
    <row r="443" customFormat="1" ht="15" customHeight="1" x14ac:dyDescent="0.25"/>
    <row r="444" customFormat="1" ht="15" customHeight="1" x14ac:dyDescent="0.25"/>
    <row r="445" customFormat="1" ht="15" customHeight="1" x14ac:dyDescent="0.25"/>
    <row r="446" customFormat="1" ht="15" customHeight="1" x14ac:dyDescent="0.25"/>
    <row r="447" customFormat="1" ht="15" customHeight="1" x14ac:dyDescent="0.25"/>
    <row r="448" customFormat="1" ht="15" customHeight="1" x14ac:dyDescent="0.25"/>
    <row r="449" customFormat="1" ht="15" customHeight="1" x14ac:dyDescent="0.25"/>
    <row r="450" customFormat="1" ht="15" customHeight="1" x14ac:dyDescent="0.25"/>
    <row r="451" customFormat="1" ht="15" customHeight="1" x14ac:dyDescent="0.25"/>
    <row r="452" customFormat="1" ht="15" customHeight="1" x14ac:dyDescent="0.25"/>
    <row r="453" customFormat="1" ht="15" customHeight="1" x14ac:dyDescent="0.25"/>
    <row r="454" customFormat="1" ht="15" customHeight="1" x14ac:dyDescent="0.25"/>
    <row r="455" customFormat="1" ht="15" customHeight="1" x14ac:dyDescent="0.25"/>
    <row r="456" customFormat="1" ht="15" customHeight="1" x14ac:dyDescent="0.25"/>
    <row r="457" customFormat="1" ht="15" customHeight="1" x14ac:dyDescent="0.25"/>
    <row r="458" customFormat="1" ht="15" customHeight="1" x14ac:dyDescent="0.25"/>
    <row r="459" customFormat="1" ht="15" customHeight="1" x14ac:dyDescent="0.25"/>
    <row r="460" customFormat="1" ht="15" customHeight="1" x14ac:dyDescent="0.25"/>
    <row r="461" customFormat="1" ht="15" customHeight="1" x14ac:dyDescent="0.25"/>
    <row r="462" customFormat="1" ht="15" customHeight="1" x14ac:dyDescent="0.25"/>
    <row r="463" customFormat="1" ht="15" customHeight="1" x14ac:dyDescent="0.25"/>
    <row r="464" customFormat="1" ht="15" customHeight="1" x14ac:dyDescent="0.25"/>
    <row r="465" customFormat="1" ht="15" customHeight="1" x14ac:dyDescent="0.25"/>
    <row r="466" customFormat="1" ht="15" customHeight="1" x14ac:dyDescent="0.25"/>
    <row r="467" customFormat="1" ht="15" customHeight="1" x14ac:dyDescent="0.25"/>
    <row r="468" customFormat="1" ht="15" customHeight="1" x14ac:dyDescent="0.25"/>
    <row r="469" customFormat="1" ht="15" customHeight="1" x14ac:dyDescent="0.25"/>
    <row r="470" customFormat="1" ht="15" customHeight="1" x14ac:dyDescent="0.25"/>
    <row r="471" customFormat="1" ht="15" customHeight="1" x14ac:dyDescent="0.25"/>
    <row r="472" customFormat="1" ht="15" customHeight="1" x14ac:dyDescent="0.25"/>
    <row r="473" customFormat="1" ht="15" customHeight="1" x14ac:dyDescent="0.25"/>
    <row r="474" customFormat="1" ht="15" customHeight="1" x14ac:dyDescent="0.25"/>
    <row r="475" customFormat="1" ht="15" customHeight="1" x14ac:dyDescent="0.25"/>
    <row r="476" customFormat="1" ht="15" customHeight="1" x14ac:dyDescent="0.25"/>
    <row r="477" customFormat="1" ht="15" customHeight="1" x14ac:dyDescent="0.25"/>
    <row r="478" customFormat="1" ht="15" customHeight="1" x14ac:dyDescent="0.25"/>
    <row r="479" customFormat="1" ht="15" customHeight="1" x14ac:dyDescent="0.25"/>
    <row r="480" customFormat="1" ht="15" customHeight="1" x14ac:dyDescent="0.25"/>
    <row r="481" customFormat="1" ht="15" customHeight="1" x14ac:dyDescent="0.25"/>
    <row r="482" customFormat="1" ht="15" customHeight="1" x14ac:dyDescent="0.25"/>
    <row r="483" customFormat="1" ht="15" customHeight="1" x14ac:dyDescent="0.25"/>
    <row r="484" customFormat="1" ht="15" customHeight="1" x14ac:dyDescent="0.25"/>
    <row r="485" customFormat="1" ht="15" customHeight="1" x14ac:dyDescent="0.25"/>
    <row r="486" customFormat="1" ht="15" customHeight="1" x14ac:dyDescent="0.25"/>
    <row r="487" customFormat="1" ht="15" customHeight="1" x14ac:dyDescent="0.25"/>
    <row r="488" customFormat="1" ht="15" customHeight="1" x14ac:dyDescent="0.25"/>
    <row r="489" customFormat="1" ht="15" customHeight="1" x14ac:dyDescent="0.25"/>
    <row r="490" customFormat="1" ht="15" customHeight="1" x14ac:dyDescent="0.25"/>
    <row r="491" customFormat="1" ht="15" customHeight="1" x14ac:dyDescent="0.25"/>
    <row r="492" customFormat="1" ht="15" customHeight="1" x14ac:dyDescent="0.25"/>
    <row r="493" customFormat="1" ht="15" customHeight="1" x14ac:dyDescent="0.25"/>
    <row r="494" customFormat="1" ht="15" customHeight="1" x14ac:dyDescent="0.25"/>
    <row r="495" customFormat="1" ht="15" customHeight="1" x14ac:dyDescent="0.25"/>
    <row r="496" customFormat="1" ht="15" customHeight="1" x14ac:dyDescent="0.25"/>
    <row r="497" customFormat="1" ht="15" customHeight="1" x14ac:dyDescent="0.25"/>
    <row r="498" customFormat="1" ht="15" customHeight="1" x14ac:dyDescent="0.25"/>
    <row r="499" customFormat="1" ht="15" customHeight="1" x14ac:dyDescent="0.25"/>
    <row r="500" customFormat="1" ht="15" customHeight="1" x14ac:dyDescent="0.25"/>
    <row r="501" customFormat="1" ht="15" customHeight="1" x14ac:dyDescent="0.25"/>
    <row r="502" customFormat="1" ht="15" customHeight="1" x14ac:dyDescent="0.25"/>
    <row r="503" customFormat="1" ht="15" customHeight="1" x14ac:dyDescent="0.25"/>
    <row r="504" customFormat="1" ht="15" customHeight="1" x14ac:dyDescent="0.25"/>
    <row r="505" customFormat="1" ht="15" customHeight="1" x14ac:dyDescent="0.25"/>
    <row r="506" customFormat="1" ht="15" customHeight="1" x14ac:dyDescent="0.25"/>
    <row r="507" customFormat="1" ht="15" customHeight="1" x14ac:dyDescent="0.25"/>
    <row r="508" customFormat="1" ht="15" customHeight="1" x14ac:dyDescent="0.25"/>
    <row r="509" customFormat="1" ht="15" customHeight="1" x14ac:dyDescent="0.25"/>
    <row r="510" customFormat="1" ht="15" customHeight="1" x14ac:dyDescent="0.25"/>
    <row r="511" customFormat="1" ht="15" customHeight="1" x14ac:dyDescent="0.25"/>
    <row r="512" customFormat="1" ht="15" customHeight="1" x14ac:dyDescent="0.25"/>
    <row r="513" customFormat="1" ht="15" customHeight="1" x14ac:dyDescent="0.25"/>
    <row r="514" customFormat="1" ht="15" customHeight="1" x14ac:dyDescent="0.25"/>
    <row r="515" customFormat="1" ht="15" customHeight="1" x14ac:dyDescent="0.25"/>
    <row r="516" customFormat="1" ht="15" customHeight="1" x14ac:dyDescent="0.25"/>
    <row r="517" customFormat="1" ht="15" customHeight="1" x14ac:dyDescent="0.25"/>
    <row r="518" customFormat="1" ht="15" customHeight="1" x14ac:dyDescent="0.25"/>
    <row r="519" customFormat="1" ht="15" customHeight="1" x14ac:dyDescent="0.25"/>
    <row r="520" customFormat="1" ht="15" customHeight="1" x14ac:dyDescent="0.25"/>
    <row r="521" customFormat="1" ht="15" customHeight="1" x14ac:dyDescent="0.25"/>
    <row r="522" customFormat="1" ht="15" customHeight="1" x14ac:dyDescent="0.25"/>
    <row r="523" customFormat="1" ht="15" customHeight="1" x14ac:dyDescent="0.25"/>
    <row r="524" customFormat="1" ht="15" customHeight="1" x14ac:dyDescent="0.25"/>
    <row r="525" customFormat="1" ht="15" customHeight="1" x14ac:dyDescent="0.25"/>
    <row r="526" customFormat="1" ht="15" customHeight="1" x14ac:dyDescent="0.25"/>
    <row r="527" customFormat="1" ht="15" customHeight="1" x14ac:dyDescent="0.25"/>
    <row r="528" customFormat="1" ht="15" customHeight="1" x14ac:dyDescent="0.25"/>
    <row r="529" customFormat="1" ht="15" customHeight="1" x14ac:dyDescent="0.25"/>
    <row r="530" customFormat="1" ht="15" customHeight="1" x14ac:dyDescent="0.25"/>
    <row r="531" customFormat="1" ht="15" customHeight="1" x14ac:dyDescent="0.25"/>
    <row r="532" customFormat="1" ht="15" customHeight="1" x14ac:dyDescent="0.25"/>
    <row r="533" customFormat="1" ht="15" customHeight="1" x14ac:dyDescent="0.25"/>
    <row r="534" customFormat="1" ht="15" customHeight="1" x14ac:dyDescent="0.25"/>
    <row r="535" customFormat="1" ht="15" customHeight="1" x14ac:dyDescent="0.25"/>
    <row r="536" customFormat="1" ht="15" customHeight="1" x14ac:dyDescent="0.25"/>
    <row r="537" customFormat="1" ht="15" customHeight="1" x14ac:dyDescent="0.25"/>
    <row r="538" customFormat="1" ht="15" customHeight="1" x14ac:dyDescent="0.25"/>
    <row r="539" customFormat="1" ht="15" customHeight="1" x14ac:dyDescent="0.25"/>
    <row r="540" customFormat="1" ht="15" customHeight="1" x14ac:dyDescent="0.25"/>
    <row r="541" customFormat="1" ht="15" customHeight="1" x14ac:dyDescent="0.25"/>
    <row r="542" customFormat="1" ht="15" customHeight="1" x14ac:dyDescent="0.25"/>
    <row r="543" customFormat="1" ht="15" customHeight="1" x14ac:dyDescent="0.25"/>
    <row r="544" customFormat="1" ht="15" customHeight="1" x14ac:dyDescent="0.25"/>
    <row r="545" customFormat="1" ht="15" customHeight="1" x14ac:dyDescent="0.25"/>
    <row r="546" customFormat="1" ht="15" customHeight="1" x14ac:dyDescent="0.25"/>
    <row r="547" customFormat="1" ht="15" customHeight="1" x14ac:dyDescent="0.25"/>
    <row r="548" customFormat="1" ht="15" customHeight="1" x14ac:dyDescent="0.25"/>
    <row r="549" customFormat="1" ht="15" customHeight="1" x14ac:dyDescent="0.25"/>
    <row r="550" customFormat="1" ht="15" customHeight="1" x14ac:dyDescent="0.25"/>
    <row r="551" customFormat="1" ht="15" customHeight="1" x14ac:dyDescent="0.25"/>
    <row r="552" customFormat="1" ht="15" customHeight="1" x14ac:dyDescent="0.25"/>
    <row r="553" customFormat="1" ht="15" customHeight="1" x14ac:dyDescent="0.25"/>
    <row r="554" customFormat="1" ht="15" customHeight="1" x14ac:dyDescent="0.25"/>
    <row r="555" customFormat="1" ht="15" customHeight="1" x14ac:dyDescent="0.25"/>
    <row r="556" customFormat="1" ht="15" customHeight="1" x14ac:dyDescent="0.25"/>
    <row r="557" customFormat="1" ht="15" customHeight="1" x14ac:dyDescent="0.25"/>
    <row r="558" customFormat="1" ht="15" customHeight="1" x14ac:dyDescent="0.25"/>
    <row r="559" customFormat="1" ht="15" customHeight="1" x14ac:dyDescent="0.25"/>
    <row r="560" customFormat="1" ht="15" customHeight="1" x14ac:dyDescent="0.25"/>
    <row r="561" customFormat="1" ht="15" customHeight="1" x14ac:dyDescent="0.25"/>
    <row r="562" customFormat="1" ht="15" customHeight="1" x14ac:dyDescent="0.25"/>
    <row r="563" customFormat="1" ht="15" customHeight="1" x14ac:dyDescent="0.25"/>
    <row r="564" customFormat="1" ht="15" customHeight="1" x14ac:dyDescent="0.25"/>
    <row r="565" customFormat="1" ht="15" customHeight="1" x14ac:dyDescent="0.25"/>
    <row r="566" customFormat="1" ht="15" customHeight="1" x14ac:dyDescent="0.25"/>
    <row r="567" customFormat="1" ht="15" customHeight="1" x14ac:dyDescent="0.25"/>
    <row r="568" customFormat="1" ht="15" customHeight="1" x14ac:dyDescent="0.25"/>
    <row r="569" customFormat="1" ht="15" customHeight="1" x14ac:dyDescent="0.25"/>
    <row r="570" customFormat="1" ht="15" customHeight="1" x14ac:dyDescent="0.25"/>
    <row r="571" customFormat="1" ht="15" customHeight="1" x14ac:dyDescent="0.25"/>
    <row r="572" customFormat="1" ht="15" customHeight="1" x14ac:dyDescent="0.25"/>
    <row r="573" customFormat="1" ht="15" customHeight="1" x14ac:dyDescent="0.25"/>
    <row r="574" customFormat="1" ht="15" customHeight="1" x14ac:dyDescent="0.25"/>
    <row r="575" customFormat="1" ht="15" customHeight="1" x14ac:dyDescent="0.25"/>
    <row r="576" customFormat="1" ht="15" customHeight="1" x14ac:dyDescent="0.25"/>
    <row r="577" customFormat="1" ht="15" customHeight="1" x14ac:dyDescent="0.25"/>
    <row r="578" customFormat="1" ht="15" customHeight="1" x14ac:dyDescent="0.25"/>
    <row r="579" customFormat="1" ht="15" customHeight="1" x14ac:dyDescent="0.25"/>
    <row r="580" customFormat="1" ht="15" customHeight="1" x14ac:dyDescent="0.25"/>
    <row r="581" customFormat="1" ht="15" customHeight="1" x14ac:dyDescent="0.25"/>
    <row r="582" customFormat="1" ht="15" customHeight="1" x14ac:dyDescent="0.25"/>
    <row r="583" customFormat="1" ht="15" customHeight="1" x14ac:dyDescent="0.25"/>
    <row r="584" customFormat="1" ht="15" customHeight="1" x14ac:dyDescent="0.25"/>
    <row r="585" customFormat="1" ht="15" customHeight="1" x14ac:dyDescent="0.25"/>
    <row r="586" customFormat="1" ht="15" customHeight="1" x14ac:dyDescent="0.25"/>
    <row r="587" customFormat="1" ht="15" customHeight="1" x14ac:dyDescent="0.25"/>
    <row r="588" customFormat="1" ht="15" customHeight="1" x14ac:dyDescent="0.25"/>
    <row r="589" customFormat="1" ht="15" customHeight="1" x14ac:dyDescent="0.25"/>
    <row r="590" customFormat="1" ht="15" customHeight="1" x14ac:dyDescent="0.25"/>
    <row r="591" customFormat="1" ht="15" customHeight="1" x14ac:dyDescent="0.25"/>
    <row r="592" customFormat="1" ht="15" customHeight="1" x14ac:dyDescent="0.25"/>
    <row r="593" customFormat="1" ht="15" customHeight="1" x14ac:dyDescent="0.25"/>
    <row r="594" customFormat="1" ht="15" customHeight="1" x14ac:dyDescent="0.25"/>
    <row r="595" customFormat="1" ht="15" customHeight="1" x14ac:dyDescent="0.25"/>
    <row r="596" customFormat="1" ht="15" customHeight="1" x14ac:dyDescent="0.25"/>
    <row r="597" customFormat="1" ht="15" customHeight="1" x14ac:dyDescent="0.25"/>
    <row r="598" customFormat="1" ht="15" customHeight="1" x14ac:dyDescent="0.25"/>
    <row r="599" customFormat="1" ht="15" customHeight="1" x14ac:dyDescent="0.25"/>
    <row r="600" customFormat="1" ht="15" customHeight="1" x14ac:dyDescent="0.25"/>
    <row r="601" customFormat="1" ht="15" customHeight="1" x14ac:dyDescent="0.25"/>
    <row r="602" customFormat="1" ht="15" customHeight="1" x14ac:dyDescent="0.25"/>
    <row r="603" customFormat="1" ht="15" customHeight="1" x14ac:dyDescent="0.25"/>
    <row r="604" customFormat="1" ht="15" customHeight="1" x14ac:dyDescent="0.25"/>
    <row r="605" customFormat="1" ht="15" customHeight="1" x14ac:dyDescent="0.25"/>
    <row r="606" customFormat="1" ht="15" customHeight="1" x14ac:dyDescent="0.25"/>
    <row r="607" customFormat="1" ht="15" customHeight="1" x14ac:dyDescent="0.25"/>
    <row r="608" customFormat="1" ht="15" customHeight="1" x14ac:dyDescent="0.25"/>
    <row r="609" customFormat="1" ht="15" customHeight="1" x14ac:dyDescent="0.25"/>
    <row r="610" customFormat="1" ht="15" customHeight="1" x14ac:dyDescent="0.25"/>
    <row r="611" customFormat="1" ht="15" customHeight="1" x14ac:dyDescent="0.25"/>
    <row r="612" customFormat="1" ht="15" customHeight="1" x14ac:dyDescent="0.25"/>
    <row r="613" customFormat="1" ht="15" customHeight="1" x14ac:dyDescent="0.25"/>
    <row r="614" customFormat="1" ht="15" customHeight="1" x14ac:dyDescent="0.25"/>
    <row r="615" customFormat="1" ht="15" customHeight="1" x14ac:dyDescent="0.25"/>
    <row r="616" customFormat="1" ht="15" customHeight="1" x14ac:dyDescent="0.25"/>
    <row r="617" customFormat="1" ht="15" customHeight="1" x14ac:dyDescent="0.25"/>
    <row r="618" customFormat="1" ht="15" customHeight="1" x14ac:dyDescent="0.25"/>
    <row r="619" customFormat="1" ht="15" customHeight="1" x14ac:dyDescent="0.25"/>
    <row r="620" customFormat="1" ht="15" customHeight="1" x14ac:dyDescent="0.25"/>
    <row r="621" customFormat="1" ht="15" customHeight="1" x14ac:dyDescent="0.25"/>
    <row r="622" customFormat="1" ht="15" customHeight="1" x14ac:dyDescent="0.25"/>
    <row r="623" customFormat="1" ht="15" customHeight="1" x14ac:dyDescent="0.25"/>
    <row r="624" customFormat="1" ht="15" customHeight="1" x14ac:dyDescent="0.25"/>
    <row r="625" customFormat="1" ht="15" customHeight="1" x14ac:dyDescent="0.25"/>
    <row r="626" customFormat="1" ht="15" customHeight="1" x14ac:dyDescent="0.25"/>
    <row r="627" customFormat="1" ht="15" customHeight="1" x14ac:dyDescent="0.25"/>
    <row r="628" customFormat="1" ht="15" customHeight="1" x14ac:dyDescent="0.25"/>
    <row r="629" customFormat="1" ht="15" customHeight="1" x14ac:dyDescent="0.25"/>
    <row r="630" customFormat="1" ht="15" customHeight="1" x14ac:dyDescent="0.25"/>
    <row r="631" customFormat="1" ht="15" customHeight="1" x14ac:dyDescent="0.25"/>
    <row r="632" customFormat="1" ht="15" customHeight="1" x14ac:dyDescent="0.25"/>
    <row r="633" customFormat="1" ht="15" customHeight="1" x14ac:dyDescent="0.25"/>
    <row r="634" customFormat="1" ht="15" customHeight="1" x14ac:dyDescent="0.25"/>
    <row r="635" customFormat="1" ht="15" customHeight="1" x14ac:dyDescent="0.25"/>
    <row r="636" customFormat="1" ht="15" customHeight="1" x14ac:dyDescent="0.25"/>
    <row r="637" customFormat="1" ht="15" customHeight="1" x14ac:dyDescent="0.25"/>
    <row r="638" customFormat="1" ht="15" customHeight="1" x14ac:dyDescent="0.25"/>
    <row r="639" customFormat="1" ht="15" customHeight="1" x14ac:dyDescent="0.25"/>
    <row r="640" customFormat="1" ht="15" customHeight="1" x14ac:dyDescent="0.25"/>
    <row r="641" customFormat="1" ht="15" customHeight="1" x14ac:dyDescent="0.25"/>
    <row r="642" customFormat="1" ht="15" customHeight="1" x14ac:dyDescent="0.25"/>
    <row r="643" customFormat="1" ht="15" customHeight="1" x14ac:dyDescent="0.25"/>
    <row r="644" customFormat="1" ht="15" customHeight="1" x14ac:dyDescent="0.25"/>
    <row r="645" customFormat="1" ht="15" customHeight="1" x14ac:dyDescent="0.25"/>
    <row r="646" customFormat="1" ht="15" customHeight="1" x14ac:dyDescent="0.25"/>
    <row r="647" customFormat="1" ht="15" customHeight="1" x14ac:dyDescent="0.25"/>
    <row r="648" customFormat="1" ht="15" customHeight="1" x14ac:dyDescent="0.25"/>
    <row r="649" customFormat="1" ht="15" customHeight="1" x14ac:dyDescent="0.25"/>
    <row r="650" customFormat="1" ht="15" customHeight="1" x14ac:dyDescent="0.25"/>
    <row r="651" customFormat="1" ht="15" customHeight="1" x14ac:dyDescent="0.25"/>
    <row r="652" customFormat="1" ht="15" customHeight="1" x14ac:dyDescent="0.25"/>
    <row r="653" customFormat="1" ht="15" customHeight="1" x14ac:dyDescent="0.25"/>
    <row r="654" customFormat="1" ht="15" customHeight="1" x14ac:dyDescent="0.25"/>
    <row r="655" customFormat="1" ht="15" customHeight="1" x14ac:dyDescent="0.25"/>
    <row r="656" customFormat="1" ht="15" customHeight="1" x14ac:dyDescent="0.25"/>
    <row r="657" customFormat="1" ht="15" customHeight="1" x14ac:dyDescent="0.25"/>
    <row r="658" customFormat="1" ht="15" customHeight="1" x14ac:dyDescent="0.25"/>
    <row r="659" customFormat="1" ht="15" customHeight="1" x14ac:dyDescent="0.25"/>
    <row r="660" customFormat="1" ht="15" customHeight="1" x14ac:dyDescent="0.25"/>
    <row r="661" customFormat="1" ht="15" customHeight="1" x14ac:dyDescent="0.25"/>
    <row r="662" customFormat="1" ht="15" customHeight="1" x14ac:dyDescent="0.25"/>
    <row r="663" customFormat="1" ht="15" customHeight="1" x14ac:dyDescent="0.25"/>
    <row r="664" customFormat="1" ht="15" customHeight="1" x14ac:dyDescent="0.25"/>
    <row r="665" customFormat="1" ht="15" customHeight="1" x14ac:dyDescent="0.25"/>
    <row r="666" customFormat="1" ht="15" customHeight="1" x14ac:dyDescent="0.25"/>
    <row r="667" customFormat="1" ht="15" customHeight="1" x14ac:dyDescent="0.25"/>
    <row r="668" customFormat="1" ht="15" customHeight="1" x14ac:dyDescent="0.25"/>
    <row r="669" customFormat="1" ht="15" customHeight="1" x14ac:dyDescent="0.25"/>
    <row r="670" customFormat="1" ht="15" customHeight="1" x14ac:dyDescent="0.25"/>
    <row r="671" customFormat="1" ht="15" customHeight="1" x14ac:dyDescent="0.25"/>
    <row r="672" customFormat="1" ht="15" customHeight="1" x14ac:dyDescent="0.25"/>
    <row r="673" customFormat="1" ht="15" customHeight="1" x14ac:dyDescent="0.25"/>
    <row r="674" customFormat="1" ht="15" customHeight="1" x14ac:dyDescent="0.25"/>
    <row r="675" customFormat="1" ht="15" customHeight="1" x14ac:dyDescent="0.25"/>
    <row r="676" customFormat="1" ht="15" customHeight="1" x14ac:dyDescent="0.25"/>
    <row r="677" customFormat="1" ht="15" customHeight="1" x14ac:dyDescent="0.25"/>
    <row r="678" customFormat="1" ht="15" customHeight="1" x14ac:dyDescent="0.25"/>
    <row r="679" customFormat="1" ht="15" customHeight="1" x14ac:dyDescent="0.25"/>
    <row r="680" customFormat="1" ht="15" customHeight="1" x14ac:dyDescent="0.25"/>
    <row r="681" customFormat="1" ht="15" customHeight="1" x14ac:dyDescent="0.25"/>
    <row r="682" customFormat="1" ht="15" customHeight="1" x14ac:dyDescent="0.25"/>
    <row r="683" customFormat="1" ht="15" customHeight="1" x14ac:dyDescent="0.25"/>
    <row r="684" customFormat="1" ht="15" customHeight="1" x14ac:dyDescent="0.25"/>
    <row r="685" customFormat="1" ht="15" customHeight="1" x14ac:dyDescent="0.25"/>
    <row r="686" customFormat="1" ht="15" customHeight="1" x14ac:dyDescent="0.25"/>
    <row r="687" customFormat="1" ht="15" customHeight="1" x14ac:dyDescent="0.25"/>
    <row r="688" customFormat="1" ht="15" customHeight="1" x14ac:dyDescent="0.25"/>
    <row r="689" customFormat="1" ht="15" customHeight="1" x14ac:dyDescent="0.25"/>
    <row r="690" customFormat="1" ht="15" customHeight="1" x14ac:dyDescent="0.25"/>
    <row r="691" customFormat="1" ht="15" customHeight="1" x14ac:dyDescent="0.25"/>
    <row r="692" customFormat="1" ht="15" customHeight="1" x14ac:dyDescent="0.25"/>
    <row r="693" customFormat="1" ht="15" customHeight="1" x14ac:dyDescent="0.25"/>
    <row r="694" customFormat="1" ht="15" customHeight="1" x14ac:dyDescent="0.25"/>
    <row r="695" customFormat="1" ht="15" customHeight="1" x14ac:dyDescent="0.25"/>
    <row r="696" customFormat="1" ht="15" customHeight="1" x14ac:dyDescent="0.25"/>
    <row r="697" customFormat="1" ht="15" customHeight="1" x14ac:dyDescent="0.25"/>
    <row r="698" customFormat="1" ht="15" customHeight="1" x14ac:dyDescent="0.25"/>
    <row r="699" customFormat="1" ht="15" customHeight="1" x14ac:dyDescent="0.25"/>
    <row r="700" customFormat="1" ht="15" customHeight="1" x14ac:dyDescent="0.25"/>
    <row r="701" customFormat="1" ht="15" customHeight="1" x14ac:dyDescent="0.25"/>
    <row r="702" customFormat="1" ht="15" customHeight="1" x14ac:dyDescent="0.25"/>
    <row r="703" customFormat="1" ht="15" customHeight="1" x14ac:dyDescent="0.25"/>
    <row r="704" customFormat="1" ht="15" customHeight="1" x14ac:dyDescent="0.25"/>
    <row r="705" customFormat="1" ht="15" customHeight="1" x14ac:dyDescent="0.25"/>
    <row r="706" customFormat="1" ht="15" customHeight="1" x14ac:dyDescent="0.25"/>
    <row r="707" customFormat="1" ht="15" customHeight="1" x14ac:dyDescent="0.25"/>
    <row r="708" customFormat="1" ht="15" customHeight="1" x14ac:dyDescent="0.25"/>
    <row r="709" customFormat="1" ht="15" customHeight="1" x14ac:dyDescent="0.25"/>
    <row r="710" customFormat="1" ht="15" customHeight="1" x14ac:dyDescent="0.25"/>
    <row r="711" customFormat="1" ht="15" customHeight="1" x14ac:dyDescent="0.25"/>
    <row r="712" customFormat="1" ht="15" customHeight="1" x14ac:dyDescent="0.25"/>
    <row r="713" customFormat="1" ht="15" customHeight="1" x14ac:dyDescent="0.25"/>
    <row r="714" customFormat="1" ht="15" customHeight="1" x14ac:dyDescent="0.25"/>
    <row r="715" customFormat="1" ht="15" customHeight="1" x14ac:dyDescent="0.25"/>
    <row r="716" customFormat="1" ht="15" customHeight="1" x14ac:dyDescent="0.25"/>
    <row r="717" customFormat="1" ht="15" customHeight="1" x14ac:dyDescent="0.25"/>
    <row r="718" customFormat="1" ht="15" customHeight="1" x14ac:dyDescent="0.25"/>
    <row r="719" customFormat="1" ht="15" customHeight="1" x14ac:dyDescent="0.25"/>
    <row r="720" customFormat="1" ht="15" customHeight="1" x14ac:dyDescent="0.25"/>
    <row r="721" customFormat="1" ht="15" customHeight="1" x14ac:dyDescent="0.25"/>
    <row r="722" customFormat="1" ht="15" customHeight="1" x14ac:dyDescent="0.25"/>
    <row r="723" customFormat="1" ht="15" customHeight="1" x14ac:dyDescent="0.25"/>
    <row r="724" customFormat="1" ht="15" customHeight="1" x14ac:dyDescent="0.25"/>
    <row r="725" customFormat="1" ht="15" customHeight="1" x14ac:dyDescent="0.25"/>
    <row r="726" customFormat="1" ht="15" customHeight="1" x14ac:dyDescent="0.25"/>
    <row r="727" customFormat="1" ht="15" customHeight="1" x14ac:dyDescent="0.25"/>
    <row r="728" customFormat="1" ht="15" customHeight="1" x14ac:dyDescent="0.25"/>
    <row r="729" customFormat="1" ht="15" customHeight="1" x14ac:dyDescent="0.25"/>
    <row r="730" customFormat="1" ht="15" customHeight="1" x14ac:dyDescent="0.25"/>
    <row r="731" customFormat="1" ht="15" customHeight="1" x14ac:dyDescent="0.25"/>
    <row r="732" customFormat="1" ht="15" customHeight="1" x14ac:dyDescent="0.25"/>
    <row r="733" customFormat="1" ht="15" customHeight="1" x14ac:dyDescent="0.25"/>
    <row r="734" customFormat="1" ht="15" customHeight="1" x14ac:dyDescent="0.25"/>
    <row r="735" customFormat="1" ht="15" customHeight="1" x14ac:dyDescent="0.25"/>
    <row r="736" customFormat="1" ht="15" customHeight="1" x14ac:dyDescent="0.25"/>
    <row r="737" customFormat="1" ht="15" customHeight="1" x14ac:dyDescent="0.25"/>
    <row r="738" customFormat="1" ht="15" customHeight="1" x14ac:dyDescent="0.25"/>
    <row r="739" customFormat="1" ht="15" customHeight="1" x14ac:dyDescent="0.25"/>
    <row r="740" customFormat="1" ht="15" customHeight="1" x14ac:dyDescent="0.25"/>
    <row r="741" customFormat="1" ht="15" customHeight="1" x14ac:dyDescent="0.25"/>
    <row r="742" customFormat="1" ht="15" customHeight="1" x14ac:dyDescent="0.25"/>
    <row r="743" customFormat="1" ht="15" customHeight="1" x14ac:dyDescent="0.25"/>
    <row r="744" customFormat="1" ht="15" customHeight="1" x14ac:dyDescent="0.25"/>
    <row r="745" customFormat="1" ht="15" customHeight="1" x14ac:dyDescent="0.25"/>
    <row r="746" customFormat="1" ht="15" customHeight="1" x14ac:dyDescent="0.25"/>
    <row r="747" customFormat="1" ht="15" customHeight="1" x14ac:dyDescent="0.25"/>
    <row r="748" customFormat="1" ht="15" customHeight="1" x14ac:dyDescent="0.25"/>
    <row r="749" customFormat="1" ht="15" customHeight="1" x14ac:dyDescent="0.25"/>
    <row r="750" customFormat="1" ht="15" customHeight="1" x14ac:dyDescent="0.25"/>
    <row r="751" customFormat="1" ht="15" customHeight="1" x14ac:dyDescent="0.25"/>
    <row r="752" customFormat="1" ht="15" customHeight="1" x14ac:dyDescent="0.25"/>
    <row r="753" customFormat="1" ht="15" customHeight="1" x14ac:dyDescent="0.25"/>
    <row r="754" customFormat="1" ht="15" customHeight="1" x14ac:dyDescent="0.25"/>
    <row r="755" customFormat="1" ht="15" customHeight="1" x14ac:dyDescent="0.25"/>
    <row r="756" customFormat="1" ht="15" customHeight="1" x14ac:dyDescent="0.25"/>
    <row r="757" customFormat="1" ht="15" customHeight="1" x14ac:dyDescent="0.25"/>
    <row r="758" customFormat="1" ht="15" customHeight="1" x14ac:dyDescent="0.25"/>
    <row r="759" customFormat="1" ht="15" customHeight="1" x14ac:dyDescent="0.25"/>
    <row r="760" customFormat="1" ht="15" customHeight="1" x14ac:dyDescent="0.25"/>
    <row r="761" customFormat="1" ht="15" customHeight="1" x14ac:dyDescent="0.25"/>
    <row r="762" customFormat="1" ht="15" customHeight="1" x14ac:dyDescent="0.25"/>
    <row r="763" customFormat="1" ht="15" customHeight="1" x14ac:dyDescent="0.25"/>
    <row r="764" customFormat="1" ht="15" customHeight="1" x14ac:dyDescent="0.25"/>
    <row r="765" customFormat="1" ht="15" customHeight="1" x14ac:dyDescent="0.25"/>
    <row r="766" customFormat="1" ht="15" customHeight="1" x14ac:dyDescent="0.25"/>
    <row r="767" customFormat="1" ht="15" customHeight="1" x14ac:dyDescent="0.25"/>
    <row r="768" customFormat="1" ht="15" customHeight="1" x14ac:dyDescent="0.25"/>
    <row r="769" customFormat="1" ht="15" customHeight="1" x14ac:dyDescent="0.25"/>
    <row r="770" customFormat="1" ht="15" customHeight="1" x14ac:dyDescent="0.25"/>
    <row r="771" customFormat="1" ht="15" customHeight="1" x14ac:dyDescent="0.25"/>
    <row r="772" customFormat="1" ht="15" customHeight="1" x14ac:dyDescent="0.25"/>
    <row r="773" customFormat="1" ht="15" customHeight="1" x14ac:dyDescent="0.25"/>
    <row r="774" customFormat="1" ht="15" customHeight="1" x14ac:dyDescent="0.25"/>
    <row r="775" customFormat="1" ht="15" customHeight="1" x14ac:dyDescent="0.25"/>
    <row r="776" customFormat="1" ht="15" customHeight="1" x14ac:dyDescent="0.25"/>
    <row r="777" customFormat="1" ht="15" customHeight="1" x14ac:dyDescent="0.25"/>
    <row r="778" customFormat="1" ht="15" customHeight="1" x14ac:dyDescent="0.25"/>
    <row r="779" customFormat="1" ht="15" customHeight="1" x14ac:dyDescent="0.25"/>
    <row r="780" customFormat="1" ht="15" customHeight="1" x14ac:dyDescent="0.25"/>
    <row r="781" customFormat="1" ht="15" customHeight="1" x14ac:dyDescent="0.25"/>
    <row r="782" customFormat="1" ht="15" customHeight="1" x14ac:dyDescent="0.25"/>
    <row r="783" customFormat="1" ht="15" customHeight="1" x14ac:dyDescent="0.25"/>
    <row r="784" customFormat="1" ht="15" customHeight="1" x14ac:dyDescent="0.25"/>
    <row r="785" customFormat="1" ht="15" customHeight="1" x14ac:dyDescent="0.25"/>
    <row r="786" customFormat="1" ht="15" customHeight="1" x14ac:dyDescent="0.25"/>
    <row r="787" customFormat="1" ht="15" customHeight="1" x14ac:dyDescent="0.25"/>
    <row r="788" customFormat="1" ht="15" customHeight="1" x14ac:dyDescent="0.25"/>
    <row r="789" customFormat="1" ht="15" customHeight="1" x14ac:dyDescent="0.25"/>
    <row r="790" customFormat="1" ht="15" customHeight="1" x14ac:dyDescent="0.25"/>
    <row r="791" customFormat="1" ht="15" customHeight="1" x14ac:dyDescent="0.25"/>
    <row r="792" customFormat="1" ht="15" customHeight="1" x14ac:dyDescent="0.25"/>
    <row r="793" customFormat="1" ht="15" customHeight="1" x14ac:dyDescent="0.25"/>
    <row r="794" customFormat="1" ht="15" customHeight="1" x14ac:dyDescent="0.25"/>
    <row r="795" customFormat="1" ht="15" customHeight="1" x14ac:dyDescent="0.25"/>
    <row r="796" customFormat="1" ht="15" customHeight="1" x14ac:dyDescent="0.25"/>
    <row r="797" customFormat="1" ht="15" customHeight="1" x14ac:dyDescent="0.25"/>
    <row r="798" customFormat="1" ht="15" customHeight="1" x14ac:dyDescent="0.25"/>
    <row r="799" customFormat="1" ht="15" customHeight="1" x14ac:dyDescent="0.25"/>
    <row r="800" customFormat="1" ht="15" customHeight="1" x14ac:dyDescent="0.25"/>
    <row r="801" customFormat="1" ht="15" customHeight="1" x14ac:dyDescent="0.25"/>
    <row r="802" customFormat="1" ht="15" customHeight="1" x14ac:dyDescent="0.25"/>
    <row r="803" customFormat="1" ht="15" customHeight="1" x14ac:dyDescent="0.25"/>
    <row r="804" customFormat="1" ht="15" customHeight="1" x14ac:dyDescent="0.25"/>
    <row r="805" customFormat="1" ht="15" customHeight="1" x14ac:dyDescent="0.25"/>
    <row r="806" customFormat="1" ht="15" customHeight="1" x14ac:dyDescent="0.25"/>
    <row r="807" customFormat="1" ht="15" customHeight="1" x14ac:dyDescent="0.25"/>
    <row r="808" customFormat="1" ht="15" customHeight="1" x14ac:dyDescent="0.25"/>
    <row r="809" customFormat="1" ht="15" customHeight="1" x14ac:dyDescent="0.25"/>
    <row r="810" customFormat="1" ht="15" customHeight="1" x14ac:dyDescent="0.25"/>
    <row r="811" customFormat="1" ht="15" customHeight="1" x14ac:dyDescent="0.25"/>
    <row r="812" customFormat="1" ht="15" customHeight="1" x14ac:dyDescent="0.25"/>
    <row r="813" customFormat="1" ht="15" customHeight="1" x14ac:dyDescent="0.25"/>
    <row r="814" customFormat="1" ht="15" customHeight="1" x14ac:dyDescent="0.25"/>
    <row r="815" customFormat="1" ht="15" customHeight="1" x14ac:dyDescent="0.25"/>
    <row r="816" customFormat="1" ht="15" customHeight="1" x14ac:dyDescent="0.25"/>
    <row r="817" customFormat="1" ht="15" customHeight="1" x14ac:dyDescent="0.25"/>
    <row r="818" customFormat="1" ht="15" customHeight="1" x14ac:dyDescent="0.25"/>
    <row r="819" customFormat="1" ht="15" customHeight="1" x14ac:dyDescent="0.25"/>
    <row r="820" customFormat="1" ht="15" customHeight="1" x14ac:dyDescent="0.25"/>
    <row r="821" customFormat="1" ht="15" customHeight="1" x14ac:dyDescent="0.25"/>
    <row r="822" customFormat="1" ht="15" customHeight="1" x14ac:dyDescent="0.25"/>
    <row r="823" customFormat="1" ht="15" customHeight="1" x14ac:dyDescent="0.25"/>
    <row r="824" customFormat="1" ht="15" customHeight="1" x14ac:dyDescent="0.25"/>
    <row r="825" customFormat="1" ht="15" customHeight="1" x14ac:dyDescent="0.25"/>
    <row r="826" customFormat="1" ht="15" customHeight="1" x14ac:dyDescent="0.25"/>
    <row r="827" customFormat="1" ht="15" customHeight="1" x14ac:dyDescent="0.25"/>
    <row r="828" customFormat="1" ht="15" customHeight="1" x14ac:dyDescent="0.25"/>
    <row r="829" customFormat="1" ht="15" customHeight="1" x14ac:dyDescent="0.25"/>
    <row r="830" customFormat="1" ht="15" customHeight="1" x14ac:dyDescent="0.25"/>
    <row r="831" customFormat="1" ht="15" customHeight="1" x14ac:dyDescent="0.25"/>
    <row r="832" customFormat="1" ht="15" customHeight="1" x14ac:dyDescent="0.25"/>
    <row r="833" customFormat="1" ht="15" customHeight="1" x14ac:dyDescent="0.25"/>
    <row r="834" customFormat="1" ht="15" customHeight="1" x14ac:dyDescent="0.25"/>
    <row r="835" customFormat="1" ht="15" customHeight="1" x14ac:dyDescent="0.25"/>
    <row r="836" customFormat="1" ht="15" customHeight="1" x14ac:dyDescent="0.25"/>
    <row r="837" customFormat="1" ht="15" customHeight="1" x14ac:dyDescent="0.25"/>
    <row r="838" customFormat="1" ht="15" customHeight="1" x14ac:dyDescent="0.25"/>
    <row r="839" customFormat="1" ht="15" customHeight="1" x14ac:dyDescent="0.25"/>
    <row r="840" customFormat="1" ht="15" customHeight="1" x14ac:dyDescent="0.25"/>
    <row r="841" customFormat="1" ht="15" customHeight="1" x14ac:dyDescent="0.25"/>
    <row r="842" customFormat="1" ht="15" customHeight="1" x14ac:dyDescent="0.25"/>
    <row r="843" customFormat="1" ht="15" customHeight="1" x14ac:dyDescent="0.25"/>
    <row r="844" customFormat="1" ht="15" customHeight="1" x14ac:dyDescent="0.25"/>
    <row r="845" customFormat="1" ht="15" customHeight="1" x14ac:dyDescent="0.25"/>
    <row r="846" customFormat="1" ht="15" customHeight="1" x14ac:dyDescent="0.25"/>
    <row r="847" customFormat="1" ht="15" customHeight="1" x14ac:dyDescent="0.25"/>
    <row r="848" customFormat="1" ht="15" customHeight="1" x14ac:dyDescent="0.25"/>
    <row r="849" customFormat="1" ht="15" customHeight="1" x14ac:dyDescent="0.25"/>
    <row r="850" customFormat="1" ht="15" customHeight="1" x14ac:dyDescent="0.25"/>
    <row r="851" customFormat="1" ht="15" customHeight="1" x14ac:dyDescent="0.25"/>
    <row r="852" customFormat="1" ht="15" customHeight="1" x14ac:dyDescent="0.25"/>
    <row r="853" customFormat="1" ht="15" customHeight="1" x14ac:dyDescent="0.25"/>
    <row r="854" customFormat="1" ht="15" customHeight="1" x14ac:dyDescent="0.25"/>
    <row r="855" customFormat="1" ht="15" customHeight="1" x14ac:dyDescent="0.25"/>
    <row r="856" customFormat="1" ht="15" customHeight="1" x14ac:dyDescent="0.25"/>
    <row r="857" customFormat="1" ht="15" customHeight="1" x14ac:dyDescent="0.25"/>
    <row r="858" customFormat="1" ht="15" customHeight="1" x14ac:dyDescent="0.25"/>
    <row r="859" customFormat="1" ht="15" customHeight="1" x14ac:dyDescent="0.25"/>
    <row r="860" customFormat="1" ht="15" customHeight="1" x14ac:dyDescent="0.25"/>
    <row r="861" customFormat="1" ht="15" customHeight="1" x14ac:dyDescent="0.25"/>
    <row r="862" customFormat="1" ht="15" customHeight="1" x14ac:dyDescent="0.25"/>
    <row r="863" customFormat="1" ht="15" customHeight="1" x14ac:dyDescent="0.25"/>
    <row r="864" customFormat="1" ht="15" customHeight="1" x14ac:dyDescent="0.25"/>
    <row r="865" customFormat="1" ht="15" customHeight="1" x14ac:dyDescent="0.25"/>
    <row r="866" customFormat="1" ht="15" customHeight="1" x14ac:dyDescent="0.25"/>
    <row r="867" customFormat="1" ht="15" customHeight="1" x14ac:dyDescent="0.25"/>
    <row r="868" customFormat="1" ht="15" customHeight="1" x14ac:dyDescent="0.25"/>
    <row r="869" customFormat="1" ht="15" customHeight="1" x14ac:dyDescent="0.25"/>
    <row r="870" customFormat="1" ht="15" customHeight="1" x14ac:dyDescent="0.25"/>
    <row r="871" customFormat="1" ht="15" customHeight="1" x14ac:dyDescent="0.25"/>
    <row r="872" customFormat="1" ht="15" customHeight="1" x14ac:dyDescent="0.25"/>
    <row r="873" customFormat="1" ht="15" customHeight="1" x14ac:dyDescent="0.25"/>
    <row r="874" customFormat="1" ht="15" customHeight="1" x14ac:dyDescent="0.25"/>
    <row r="875" customFormat="1" ht="15" customHeight="1" x14ac:dyDescent="0.25"/>
    <row r="876" customFormat="1" ht="15" customHeight="1" x14ac:dyDescent="0.25"/>
    <row r="877" customFormat="1" ht="15" customHeight="1" x14ac:dyDescent="0.25"/>
    <row r="878" customFormat="1" ht="15" customHeight="1" x14ac:dyDescent="0.25"/>
    <row r="879" customFormat="1" ht="15" customHeight="1" x14ac:dyDescent="0.25"/>
    <row r="880" customFormat="1" ht="15" customHeight="1" x14ac:dyDescent="0.25"/>
    <row r="881" customFormat="1" ht="15" customHeight="1" x14ac:dyDescent="0.25"/>
    <row r="882" customFormat="1" ht="15" customHeight="1" x14ac:dyDescent="0.25"/>
    <row r="883" customFormat="1" ht="15" customHeight="1" x14ac:dyDescent="0.25"/>
    <row r="884" customFormat="1" ht="15" customHeight="1" x14ac:dyDescent="0.25"/>
    <row r="885" customFormat="1" ht="15" customHeight="1" x14ac:dyDescent="0.25"/>
    <row r="886" customFormat="1" ht="15" customHeight="1" x14ac:dyDescent="0.25"/>
    <row r="887" customFormat="1" ht="15" customHeight="1" x14ac:dyDescent="0.25"/>
    <row r="888" customFormat="1" ht="15" customHeight="1" x14ac:dyDescent="0.25"/>
    <row r="889" customFormat="1" ht="15" customHeight="1" x14ac:dyDescent="0.25"/>
    <row r="890" customFormat="1" ht="15" customHeight="1" x14ac:dyDescent="0.25"/>
    <row r="891" customFormat="1" ht="15" customHeight="1" x14ac:dyDescent="0.25"/>
    <row r="892" customFormat="1" ht="15" customHeight="1" x14ac:dyDescent="0.25"/>
    <row r="893" customFormat="1" ht="15" customHeight="1" x14ac:dyDescent="0.25"/>
    <row r="894" customFormat="1" ht="15" customHeight="1" x14ac:dyDescent="0.25"/>
    <row r="895" customFormat="1" ht="15" customHeight="1" x14ac:dyDescent="0.25"/>
    <row r="896" customFormat="1" ht="15" customHeight="1" x14ac:dyDescent="0.25"/>
    <row r="897" customFormat="1" ht="15" customHeight="1" x14ac:dyDescent="0.25"/>
    <row r="898" customFormat="1" ht="15" customHeight="1" x14ac:dyDescent="0.25"/>
    <row r="899" customFormat="1" ht="15" customHeight="1" x14ac:dyDescent="0.25"/>
    <row r="900" customFormat="1" ht="15" customHeight="1" x14ac:dyDescent="0.25"/>
    <row r="901" customFormat="1" ht="15" customHeight="1" x14ac:dyDescent="0.25"/>
    <row r="902" customFormat="1" ht="15" customHeight="1" x14ac:dyDescent="0.25"/>
    <row r="903" customFormat="1" ht="15" customHeight="1" x14ac:dyDescent="0.25"/>
    <row r="904" customFormat="1" ht="15" customHeight="1" x14ac:dyDescent="0.25"/>
    <row r="905" customFormat="1" ht="15" customHeight="1" x14ac:dyDescent="0.25"/>
    <row r="906" customFormat="1" ht="15" customHeight="1" x14ac:dyDescent="0.25"/>
    <row r="907" customFormat="1" ht="15" customHeight="1" x14ac:dyDescent="0.25"/>
    <row r="908" customFormat="1" ht="15" customHeight="1" x14ac:dyDescent="0.25"/>
    <row r="909" customFormat="1" ht="15" customHeight="1" x14ac:dyDescent="0.25"/>
    <row r="910" customFormat="1" ht="15" customHeight="1" x14ac:dyDescent="0.25"/>
    <row r="911" customFormat="1" ht="15" customHeight="1" x14ac:dyDescent="0.25"/>
    <row r="912" customFormat="1" ht="15" customHeight="1" x14ac:dyDescent="0.25"/>
    <row r="913" customFormat="1" ht="15" customHeight="1" x14ac:dyDescent="0.25"/>
    <row r="914" customFormat="1" ht="15" customHeight="1" x14ac:dyDescent="0.25"/>
    <row r="915" customFormat="1" ht="15" customHeight="1" x14ac:dyDescent="0.25"/>
    <row r="916" customFormat="1" ht="15" customHeight="1" x14ac:dyDescent="0.25"/>
    <row r="917" customFormat="1" ht="15" customHeight="1" x14ac:dyDescent="0.25"/>
    <row r="918" customFormat="1" ht="15" customHeight="1" x14ac:dyDescent="0.25"/>
    <row r="919" customFormat="1" ht="15" customHeight="1" x14ac:dyDescent="0.25"/>
    <row r="920" customFormat="1" ht="15" customHeight="1" x14ac:dyDescent="0.25"/>
    <row r="921" customFormat="1" ht="15" customHeight="1" x14ac:dyDescent="0.25"/>
    <row r="922" customFormat="1" ht="15" customHeight="1" x14ac:dyDescent="0.25"/>
    <row r="923" customFormat="1" ht="15" customHeight="1" x14ac:dyDescent="0.25"/>
    <row r="924" customFormat="1" ht="15" customHeight="1" x14ac:dyDescent="0.25"/>
    <row r="925" customFormat="1" ht="15" customHeight="1" x14ac:dyDescent="0.25"/>
    <row r="926" customFormat="1" ht="15" customHeight="1" x14ac:dyDescent="0.25"/>
    <row r="927" customFormat="1" ht="15" customHeight="1" x14ac:dyDescent="0.25"/>
    <row r="928" customFormat="1" ht="15" customHeight="1" x14ac:dyDescent="0.25"/>
    <row r="929" customFormat="1" ht="15" customHeight="1" x14ac:dyDescent="0.25"/>
    <row r="930" customFormat="1" ht="15" customHeight="1" x14ac:dyDescent="0.25"/>
    <row r="931" customFormat="1" ht="15" customHeight="1" x14ac:dyDescent="0.25"/>
    <row r="932" customFormat="1" ht="15" customHeight="1" x14ac:dyDescent="0.25"/>
    <row r="933" customFormat="1" ht="15" customHeight="1" x14ac:dyDescent="0.25"/>
    <row r="934" customFormat="1" ht="15" customHeight="1" x14ac:dyDescent="0.25"/>
    <row r="935" customFormat="1" ht="15" customHeight="1" x14ac:dyDescent="0.25"/>
    <row r="936" customFormat="1" ht="15" customHeight="1" x14ac:dyDescent="0.25"/>
    <row r="937" customFormat="1" ht="15" customHeight="1" x14ac:dyDescent="0.25"/>
    <row r="938" customFormat="1" ht="15" customHeight="1" x14ac:dyDescent="0.25"/>
    <row r="939" customFormat="1" ht="15" customHeight="1" x14ac:dyDescent="0.25"/>
    <row r="940" customFormat="1" ht="15" customHeight="1" x14ac:dyDescent="0.25"/>
    <row r="941" customFormat="1" ht="15" customHeight="1" x14ac:dyDescent="0.25"/>
    <row r="942" customFormat="1" ht="15" customHeight="1" x14ac:dyDescent="0.25"/>
    <row r="943" customFormat="1" ht="15" customHeight="1" x14ac:dyDescent="0.25"/>
    <row r="944" customFormat="1" ht="15" customHeight="1" x14ac:dyDescent="0.25"/>
    <row r="945" customFormat="1" ht="15" customHeight="1" x14ac:dyDescent="0.25"/>
    <row r="946" customFormat="1" ht="15" customHeight="1" x14ac:dyDescent="0.25"/>
    <row r="947" customFormat="1" ht="15" customHeight="1" x14ac:dyDescent="0.25"/>
    <row r="948" customFormat="1" ht="15" customHeight="1" x14ac:dyDescent="0.25"/>
    <row r="949" customFormat="1" ht="15" customHeight="1" x14ac:dyDescent="0.25"/>
    <row r="950" customFormat="1" ht="15" customHeight="1" x14ac:dyDescent="0.25"/>
    <row r="951" customFormat="1" ht="15" customHeight="1" x14ac:dyDescent="0.25"/>
    <row r="952" customFormat="1" ht="15" customHeight="1" x14ac:dyDescent="0.25"/>
    <row r="953" customFormat="1" ht="15" customHeight="1" x14ac:dyDescent="0.25"/>
    <row r="954" customFormat="1" ht="15" customHeight="1" x14ac:dyDescent="0.25"/>
    <row r="955" customFormat="1" ht="15" customHeight="1" x14ac:dyDescent="0.25"/>
    <row r="956" customFormat="1" ht="15" customHeight="1" x14ac:dyDescent="0.25"/>
    <row r="957" customFormat="1" ht="15" customHeight="1" x14ac:dyDescent="0.25"/>
    <row r="958" customFormat="1" ht="15" customHeight="1" x14ac:dyDescent="0.25"/>
    <row r="959" customFormat="1" ht="15" customHeight="1" x14ac:dyDescent="0.25"/>
    <row r="960" customFormat="1" ht="15" customHeight="1" x14ac:dyDescent="0.25"/>
    <row r="961" customFormat="1" ht="15" customHeight="1" x14ac:dyDescent="0.25"/>
    <row r="962" customFormat="1" ht="15" customHeight="1" x14ac:dyDescent="0.25"/>
    <row r="963" customFormat="1" ht="15" customHeight="1" x14ac:dyDescent="0.25"/>
    <row r="964" customFormat="1" ht="15" customHeight="1" x14ac:dyDescent="0.25"/>
    <row r="965" customFormat="1" ht="15" customHeight="1" x14ac:dyDescent="0.25"/>
    <row r="966" customFormat="1" ht="15" customHeight="1" x14ac:dyDescent="0.25"/>
    <row r="967" customFormat="1" ht="15" customHeight="1" x14ac:dyDescent="0.25"/>
    <row r="968" customFormat="1" ht="15" customHeight="1" x14ac:dyDescent="0.25"/>
    <row r="969" customFormat="1" ht="15" customHeight="1" x14ac:dyDescent="0.25"/>
    <row r="970" customFormat="1" ht="15" customHeight="1" x14ac:dyDescent="0.25"/>
    <row r="971" customFormat="1" ht="15" customHeight="1" x14ac:dyDescent="0.25"/>
    <row r="972" customFormat="1" ht="15" customHeight="1" x14ac:dyDescent="0.25"/>
    <row r="973" customFormat="1" ht="15" customHeight="1" x14ac:dyDescent="0.25"/>
    <row r="974" customFormat="1" ht="15" customHeight="1" x14ac:dyDescent="0.25"/>
    <row r="975" customFormat="1" ht="15" customHeight="1" x14ac:dyDescent="0.25"/>
    <row r="976" customFormat="1" ht="15" customHeight="1" x14ac:dyDescent="0.25"/>
    <row r="977" customFormat="1" ht="15" customHeight="1" x14ac:dyDescent="0.25"/>
    <row r="978" customFormat="1" ht="15" customHeight="1" x14ac:dyDescent="0.25"/>
    <row r="979" customFormat="1" ht="15" customHeight="1" x14ac:dyDescent="0.25"/>
    <row r="980" customFormat="1" ht="15" customHeight="1" x14ac:dyDescent="0.25"/>
    <row r="981" customFormat="1" ht="15" customHeight="1" x14ac:dyDescent="0.25"/>
    <row r="982" customFormat="1" ht="15" customHeight="1" x14ac:dyDescent="0.25"/>
    <row r="983" customFormat="1" ht="15" customHeight="1" x14ac:dyDescent="0.25"/>
    <row r="984" customFormat="1" ht="15" customHeight="1" x14ac:dyDescent="0.25"/>
    <row r="985" customFormat="1" ht="15" customHeight="1" x14ac:dyDescent="0.25"/>
    <row r="986" customFormat="1" ht="15" customHeight="1" x14ac:dyDescent="0.25"/>
    <row r="987" customFormat="1" ht="15" customHeight="1" x14ac:dyDescent="0.25"/>
    <row r="988" customFormat="1" ht="15" customHeight="1" x14ac:dyDescent="0.25"/>
    <row r="989" customFormat="1" ht="15" customHeight="1" x14ac:dyDescent="0.25"/>
    <row r="990" customFormat="1" ht="15" customHeight="1" x14ac:dyDescent="0.25"/>
    <row r="991" customFormat="1" ht="15" customHeight="1" x14ac:dyDescent="0.25"/>
    <row r="992" customFormat="1" ht="15" customHeight="1" x14ac:dyDescent="0.25"/>
    <row r="993" customFormat="1" ht="15" customHeight="1" x14ac:dyDescent="0.25"/>
    <row r="994" customFormat="1" ht="15" customHeight="1" x14ac:dyDescent="0.25"/>
    <row r="995" customFormat="1" ht="15" customHeight="1" x14ac:dyDescent="0.25"/>
    <row r="996" customFormat="1" ht="15" customHeight="1" x14ac:dyDescent="0.25"/>
    <row r="997" customFormat="1" ht="15" customHeight="1" x14ac:dyDescent="0.25"/>
    <row r="998" customFormat="1" ht="15" customHeight="1" x14ac:dyDescent="0.25"/>
    <row r="999" customFormat="1" ht="15" customHeight="1" x14ac:dyDescent="0.25"/>
    <row r="1000" customFormat="1" ht="15" customHeight="1" x14ac:dyDescent="0.25"/>
    <row r="1001" customFormat="1" ht="15" customHeight="1" x14ac:dyDescent="0.25"/>
    <row r="1002" customFormat="1" ht="15" customHeight="1" x14ac:dyDescent="0.25"/>
    <row r="1003" customFormat="1" ht="15" customHeight="1" x14ac:dyDescent="0.25"/>
    <row r="1004" customFormat="1" ht="15" customHeight="1" x14ac:dyDescent="0.25"/>
    <row r="1005" customFormat="1" ht="15" customHeight="1" x14ac:dyDescent="0.25"/>
    <row r="1006" customFormat="1" ht="15" customHeight="1" x14ac:dyDescent="0.25"/>
    <row r="1007" customFormat="1" ht="15" customHeight="1" x14ac:dyDescent="0.25"/>
    <row r="1008" customFormat="1" ht="15" customHeight="1" x14ac:dyDescent="0.25"/>
    <row r="1009" customFormat="1" ht="15" customHeight="1" x14ac:dyDescent="0.25"/>
    <row r="1010" customFormat="1" ht="15" customHeight="1" x14ac:dyDescent="0.25"/>
    <row r="1011" customFormat="1" ht="15" customHeight="1" x14ac:dyDescent="0.25"/>
    <row r="1012" customFormat="1" ht="15" customHeight="1" x14ac:dyDescent="0.25"/>
    <row r="1013" customFormat="1" ht="15" customHeight="1" x14ac:dyDescent="0.25"/>
    <row r="1014" customFormat="1" ht="15" customHeight="1" x14ac:dyDescent="0.25"/>
    <row r="1015" customFormat="1" ht="15" customHeight="1" x14ac:dyDescent="0.25"/>
    <row r="1016" customFormat="1" ht="15" customHeight="1" x14ac:dyDescent="0.25"/>
    <row r="1017" customFormat="1" ht="15" customHeight="1" x14ac:dyDescent="0.25"/>
    <row r="1018" customFormat="1" ht="15" customHeight="1" x14ac:dyDescent="0.25"/>
    <row r="1019" customFormat="1" ht="15" customHeight="1" x14ac:dyDescent="0.25"/>
    <row r="1020" customFormat="1" ht="15" customHeight="1" x14ac:dyDescent="0.25"/>
    <row r="1021" customFormat="1" ht="15" customHeight="1" x14ac:dyDescent="0.25"/>
    <row r="1022" customFormat="1" ht="15" customHeight="1" x14ac:dyDescent="0.25"/>
    <row r="1023" customFormat="1" ht="15" customHeight="1" x14ac:dyDescent="0.25"/>
    <row r="1024" customFormat="1" ht="15" customHeight="1" x14ac:dyDescent="0.25"/>
    <row r="1025" customFormat="1" ht="15" customHeight="1" x14ac:dyDescent="0.25"/>
    <row r="1026" customFormat="1" ht="15" customHeight="1" x14ac:dyDescent="0.25"/>
    <row r="1027" customFormat="1" ht="15" customHeight="1" x14ac:dyDescent="0.25"/>
    <row r="1028" customFormat="1" ht="15" customHeight="1" x14ac:dyDescent="0.25"/>
    <row r="1029" customFormat="1" ht="15" customHeight="1" x14ac:dyDescent="0.25"/>
    <row r="1030" customFormat="1" ht="15" customHeight="1" x14ac:dyDescent="0.25"/>
    <row r="1031" customFormat="1" ht="15" customHeight="1" x14ac:dyDescent="0.25"/>
    <row r="1032" customFormat="1" ht="15" customHeight="1" x14ac:dyDescent="0.25"/>
    <row r="1033" customFormat="1" ht="15" customHeight="1" x14ac:dyDescent="0.25"/>
    <row r="1034" customFormat="1" ht="15" customHeight="1" x14ac:dyDescent="0.25"/>
    <row r="1035" customFormat="1" ht="15" customHeight="1" x14ac:dyDescent="0.25"/>
    <row r="1036" customFormat="1" ht="15" customHeight="1" x14ac:dyDescent="0.25"/>
    <row r="1037" customFormat="1" ht="15" customHeight="1" x14ac:dyDescent="0.25"/>
    <row r="1038" customFormat="1" ht="15" customHeight="1" x14ac:dyDescent="0.25"/>
    <row r="1039" customFormat="1" ht="15" customHeight="1" x14ac:dyDescent="0.25"/>
    <row r="1040" customFormat="1" ht="15" customHeight="1" x14ac:dyDescent="0.25"/>
    <row r="1041" customFormat="1" ht="15" customHeight="1" x14ac:dyDescent="0.25"/>
    <row r="1042" customFormat="1" ht="15" customHeight="1" x14ac:dyDescent="0.25"/>
    <row r="1043" customFormat="1" ht="15" customHeight="1" x14ac:dyDescent="0.25"/>
    <row r="1044" customFormat="1" ht="15" customHeight="1" x14ac:dyDescent="0.25"/>
    <row r="1045" customFormat="1" ht="15" customHeight="1" x14ac:dyDescent="0.25"/>
    <row r="1046" customFormat="1" ht="15" customHeight="1" x14ac:dyDescent="0.25"/>
    <row r="1047" customFormat="1" ht="15" customHeight="1" x14ac:dyDescent="0.25"/>
    <row r="1048" customFormat="1" ht="15" customHeight="1" x14ac:dyDescent="0.25"/>
    <row r="1049" customFormat="1" ht="15" customHeight="1" x14ac:dyDescent="0.25"/>
    <row r="1050" customFormat="1" ht="15" customHeight="1" x14ac:dyDescent="0.25"/>
    <row r="1051" customFormat="1" ht="15" customHeight="1" x14ac:dyDescent="0.25"/>
    <row r="1052" customFormat="1" ht="15" customHeight="1" x14ac:dyDescent="0.25"/>
    <row r="1053" customFormat="1" ht="15" customHeight="1" x14ac:dyDescent="0.25"/>
    <row r="1054" customFormat="1" ht="15" customHeight="1" x14ac:dyDescent="0.25"/>
    <row r="1055" customFormat="1" ht="15" customHeight="1" x14ac:dyDescent="0.25"/>
    <row r="1056" customFormat="1" ht="15" customHeight="1" x14ac:dyDescent="0.25"/>
    <row r="1057" customFormat="1" ht="15" customHeight="1" x14ac:dyDescent="0.25"/>
    <row r="1058" customFormat="1" ht="15" customHeight="1" x14ac:dyDescent="0.25"/>
    <row r="1059" customFormat="1" ht="15" customHeight="1" x14ac:dyDescent="0.25"/>
    <row r="1060" customFormat="1" ht="15" customHeight="1" x14ac:dyDescent="0.25"/>
    <row r="1061" customFormat="1" ht="15" customHeight="1" x14ac:dyDescent="0.25"/>
    <row r="1062" customFormat="1" ht="15" customHeight="1" x14ac:dyDescent="0.25"/>
    <row r="1063" customFormat="1" ht="15" customHeight="1" x14ac:dyDescent="0.25"/>
    <row r="1064" customFormat="1" ht="15" customHeight="1" x14ac:dyDescent="0.25"/>
    <row r="1065" customFormat="1" ht="15" customHeight="1" x14ac:dyDescent="0.25"/>
    <row r="1066" customFormat="1" ht="15" customHeight="1" x14ac:dyDescent="0.25"/>
    <row r="1067" customFormat="1" ht="15" customHeight="1" x14ac:dyDescent="0.25"/>
    <row r="1068" customFormat="1" ht="15" customHeight="1" x14ac:dyDescent="0.25"/>
    <row r="1069" customFormat="1" ht="15" customHeight="1" x14ac:dyDescent="0.25"/>
    <row r="1070" customFormat="1" ht="15" customHeight="1" x14ac:dyDescent="0.25"/>
    <row r="1071" customFormat="1" ht="15" customHeight="1" x14ac:dyDescent="0.25"/>
    <row r="1072" customFormat="1" ht="15" customHeight="1" x14ac:dyDescent="0.25"/>
    <row r="1073" customFormat="1" ht="15" customHeight="1" x14ac:dyDescent="0.25"/>
    <row r="1074" customFormat="1" ht="15" customHeight="1" x14ac:dyDescent="0.25"/>
    <row r="1075" customFormat="1" ht="15" customHeight="1" x14ac:dyDescent="0.25"/>
    <row r="1076" customFormat="1" ht="15" customHeight="1" x14ac:dyDescent="0.25"/>
    <row r="1077" customFormat="1" ht="15" customHeight="1" x14ac:dyDescent="0.25"/>
    <row r="1078" customFormat="1" ht="15" customHeight="1" x14ac:dyDescent="0.25"/>
    <row r="1079" customFormat="1" ht="15" customHeight="1" x14ac:dyDescent="0.25"/>
    <row r="1080" customFormat="1" ht="15" customHeight="1" x14ac:dyDescent="0.25"/>
    <row r="1081" customFormat="1" ht="15" customHeight="1" x14ac:dyDescent="0.25"/>
    <row r="1082" customFormat="1" ht="15" customHeight="1" x14ac:dyDescent="0.25"/>
    <row r="1083" customFormat="1" ht="15" customHeight="1" x14ac:dyDescent="0.25"/>
    <row r="1084" customFormat="1" ht="15" customHeight="1" x14ac:dyDescent="0.25"/>
    <row r="1085" customFormat="1" ht="15" customHeight="1" x14ac:dyDescent="0.25"/>
    <row r="1086" customFormat="1" ht="15" customHeight="1" x14ac:dyDescent="0.25"/>
    <row r="1087" customFormat="1" ht="15" customHeight="1" x14ac:dyDescent="0.25"/>
    <row r="1088" customFormat="1" ht="15" customHeight="1" x14ac:dyDescent="0.25"/>
    <row r="1089" customFormat="1" ht="15" customHeight="1" x14ac:dyDescent="0.25"/>
    <row r="1090" customFormat="1" ht="15" customHeight="1" x14ac:dyDescent="0.25"/>
    <row r="1091" customFormat="1" ht="15" customHeight="1" x14ac:dyDescent="0.25"/>
    <row r="1092" customFormat="1" ht="15" customHeight="1" x14ac:dyDescent="0.25"/>
    <row r="1093" customFormat="1" ht="15" customHeight="1" x14ac:dyDescent="0.25"/>
    <row r="1094" customFormat="1" ht="15" customHeight="1" x14ac:dyDescent="0.25"/>
    <row r="1095" customFormat="1" ht="15" customHeight="1" x14ac:dyDescent="0.25"/>
    <row r="1096" customFormat="1" ht="15" customHeight="1" x14ac:dyDescent="0.25"/>
    <row r="1097" customFormat="1" ht="15" customHeight="1" x14ac:dyDescent="0.25"/>
    <row r="1098" customFormat="1" ht="15" customHeight="1" x14ac:dyDescent="0.25"/>
    <row r="1099" customFormat="1" ht="15" customHeight="1" x14ac:dyDescent="0.25"/>
    <row r="1100" customFormat="1" ht="15" customHeight="1" x14ac:dyDescent="0.25"/>
    <row r="1101" customFormat="1" ht="15" customHeight="1" x14ac:dyDescent="0.25"/>
    <row r="1102" customFormat="1" ht="15" customHeight="1" x14ac:dyDescent="0.25"/>
    <row r="1103" customFormat="1" ht="15" customHeight="1" x14ac:dyDescent="0.25"/>
    <row r="1104" customFormat="1" ht="15" customHeight="1" x14ac:dyDescent="0.25"/>
    <row r="1105" customFormat="1" ht="15" customHeight="1" x14ac:dyDescent="0.25"/>
    <row r="1106" customFormat="1" ht="15" customHeight="1" x14ac:dyDescent="0.25"/>
    <row r="1107" customFormat="1" ht="15" customHeight="1" x14ac:dyDescent="0.25"/>
    <row r="1108" customFormat="1" ht="15" customHeight="1" x14ac:dyDescent="0.25"/>
    <row r="1109" customFormat="1" ht="15" customHeight="1" x14ac:dyDescent="0.25"/>
    <row r="1110" customFormat="1" ht="15" customHeight="1" x14ac:dyDescent="0.25"/>
    <row r="1111" customFormat="1" ht="15" customHeight="1" x14ac:dyDescent="0.25"/>
    <row r="1112" customFormat="1" ht="15" customHeight="1" x14ac:dyDescent="0.25"/>
    <row r="1113" customFormat="1" ht="15" customHeight="1" x14ac:dyDescent="0.25"/>
    <row r="1114" customFormat="1" ht="15" customHeight="1" x14ac:dyDescent="0.25"/>
    <row r="1115" customFormat="1" ht="15" customHeight="1" x14ac:dyDescent="0.25"/>
    <row r="1116" customFormat="1" ht="15" customHeight="1" x14ac:dyDescent="0.25"/>
    <row r="1117" customFormat="1" ht="15" customHeight="1" x14ac:dyDescent="0.25"/>
    <row r="1118" customFormat="1" ht="15" customHeight="1" x14ac:dyDescent="0.25"/>
    <row r="1119" customFormat="1" ht="15" customHeight="1" x14ac:dyDescent="0.25"/>
    <row r="1120" customFormat="1" ht="15" customHeight="1" x14ac:dyDescent="0.25"/>
    <row r="1121" customFormat="1" ht="15" customHeight="1" x14ac:dyDescent="0.25"/>
    <row r="1122" customFormat="1" ht="15" customHeight="1" x14ac:dyDescent="0.25"/>
    <row r="1123" customFormat="1" ht="15" customHeight="1" x14ac:dyDescent="0.25"/>
    <row r="1124" customFormat="1" ht="15" customHeight="1" x14ac:dyDescent="0.25"/>
    <row r="1125" customFormat="1" ht="15" customHeight="1" x14ac:dyDescent="0.25"/>
    <row r="1126" customFormat="1" ht="15" customHeight="1" x14ac:dyDescent="0.25"/>
    <row r="1127" customFormat="1" ht="15" customHeight="1" x14ac:dyDescent="0.25"/>
    <row r="1128" customFormat="1" ht="15" customHeight="1" x14ac:dyDescent="0.25"/>
    <row r="1129" customFormat="1" ht="15" customHeight="1" x14ac:dyDescent="0.25"/>
    <row r="1130" customFormat="1" ht="15" customHeight="1" x14ac:dyDescent="0.25"/>
    <row r="1131" customFormat="1" ht="15" customHeight="1" x14ac:dyDescent="0.25"/>
    <row r="1132" customFormat="1" ht="15" customHeight="1" x14ac:dyDescent="0.25"/>
    <row r="1133" customFormat="1" ht="15" customHeight="1" x14ac:dyDescent="0.25"/>
    <row r="1134" customFormat="1" ht="15" customHeight="1" x14ac:dyDescent="0.25"/>
    <row r="1135" customFormat="1" ht="15" customHeight="1" x14ac:dyDescent="0.25"/>
    <row r="1136" customFormat="1" ht="15" customHeight="1" x14ac:dyDescent="0.25"/>
    <row r="1137" customFormat="1" ht="15" customHeight="1" x14ac:dyDescent="0.25"/>
    <row r="1138" customFormat="1" ht="15" customHeight="1" x14ac:dyDescent="0.25"/>
    <row r="1139" customFormat="1" ht="15" customHeight="1" x14ac:dyDescent="0.25"/>
    <row r="1140" customFormat="1" ht="15" customHeight="1" x14ac:dyDescent="0.25"/>
    <row r="1141" customFormat="1" ht="15" customHeight="1" x14ac:dyDescent="0.25"/>
    <row r="1142" customFormat="1" ht="15" customHeight="1" x14ac:dyDescent="0.25"/>
    <row r="1143" customFormat="1" ht="15" customHeight="1" x14ac:dyDescent="0.25"/>
    <row r="1144" customFormat="1" ht="15" customHeight="1" x14ac:dyDescent="0.25"/>
    <row r="1145" customFormat="1" ht="15" customHeight="1" x14ac:dyDescent="0.25"/>
    <row r="1146" customFormat="1" ht="15" customHeight="1" x14ac:dyDescent="0.25"/>
    <row r="1147" customFormat="1" ht="15" customHeight="1" x14ac:dyDescent="0.25"/>
    <row r="1148" customFormat="1" ht="15" customHeight="1" x14ac:dyDescent="0.25"/>
    <row r="1149" customFormat="1" ht="15" customHeight="1" x14ac:dyDescent="0.25"/>
    <row r="1150" customFormat="1" ht="15" customHeight="1" x14ac:dyDescent="0.25"/>
    <row r="1151" customFormat="1" ht="15" customHeight="1" x14ac:dyDescent="0.25"/>
    <row r="1152" customFormat="1" ht="15" customHeight="1" x14ac:dyDescent="0.25"/>
    <row r="1153" customFormat="1" ht="15" customHeight="1" x14ac:dyDescent="0.25"/>
    <row r="1154" customFormat="1" ht="15" customHeight="1" x14ac:dyDescent="0.25"/>
    <row r="1155" customFormat="1" ht="15" customHeight="1" x14ac:dyDescent="0.25"/>
    <row r="1156" customFormat="1" ht="15" customHeight="1" x14ac:dyDescent="0.25"/>
    <row r="1157" customFormat="1" ht="15" customHeight="1" x14ac:dyDescent="0.25"/>
    <row r="1158" customFormat="1" ht="15" customHeight="1" x14ac:dyDescent="0.25"/>
    <row r="1159" customFormat="1" ht="15" customHeight="1" x14ac:dyDescent="0.25"/>
    <row r="1160" customFormat="1" ht="15" customHeight="1" x14ac:dyDescent="0.25"/>
    <row r="1161" customFormat="1" ht="15" customHeight="1" x14ac:dyDescent="0.25"/>
    <row r="1162" customFormat="1" ht="15" customHeight="1" x14ac:dyDescent="0.25"/>
    <row r="1163" customFormat="1" ht="15" customHeight="1" x14ac:dyDescent="0.25"/>
    <row r="1164" customFormat="1" ht="15" customHeight="1" x14ac:dyDescent="0.25"/>
    <row r="1165" customFormat="1" ht="15" customHeight="1" x14ac:dyDescent="0.25"/>
    <row r="1166" customFormat="1" ht="15" customHeight="1" x14ac:dyDescent="0.25"/>
    <row r="1167" customFormat="1" ht="15" customHeight="1" x14ac:dyDescent="0.25"/>
    <row r="1168" customFormat="1" ht="15" customHeight="1" x14ac:dyDescent="0.25"/>
    <row r="1169" customFormat="1" ht="15" customHeight="1" x14ac:dyDescent="0.25"/>
    <row r="1170" customFormat="1" ht="15" customHeight="1" x14ac:dyDescent="0.25"/>
    <row r="1171" customFormat="1" ht="15" customHeight="1" x14ac:dyDescent="0.25"/>
    <row r="1172" customFormat="1" ht="15" customHeight="1" x14ac:dyDescent="0.25"/>
    <row r="1173" customFormat="1" ht="15" customHeight="1" x14ac:dyDescent="0.25"/>
    <row r="1174" customFormat="1" ht="15" customHeight="1" x14ac:dyDescent="0.25"/>
    <row r="1175" customFormat="1" ht="15" customHeight="1" x14ac:dyDescent="0.25"/>
    <row r="1176" customFormat="1" ht="15" customHeight="1" x14ac:dyDescent="0.25"/>
    <row r="1177" customFormat="1" ht="15" customHeight="1" x14ac:dyDescent="0.25"/>
    <row r="1178" customFormat="1" ht="15" customHeight="1" x14ac:dyDescent="0.25"/>
    <row r="1179" customFormat="1" ht="15" customHeight="1" x14ac:dyDescent="0.25"/>
    <row r="1180" customFormat="1" ht="15" customHeight="1" x14ac:dyDescent="0.25"/>
    <row r="1181" customFormat="1" ht="15" customHeight="1" x14ac:dyDescent="0.25"/>
    <row r="1182" customFormat="1" ht="15" customHeight="1" x14ac:dyDescent="0.25"/>
    <row r="1183" customFormat="1" ht="15" customHeight="1" x14ac:dyDescent="0.25"/>
    <row r="1184" customFormat="1" ht="15" customHeight="1" x14ac:dyDescent="0.25"/>
    <row r="1185" customFormat="1" ht="15" customHeight="1" x14ac:dyDescent="0.25"/>
    <row r="1186" customFormat="1" ht="15" customHeight="1" x14ac:dyDescent="0.25"/>
    <row r="1187" customFormat="1" ht="15" customHeight="1" x14ac:dyDescent="0.25"/>
    <row r="1188" customFormat="1" ht="15" customHeight="1" x14ac:dyDescent="0.25"/>
    <row r="1189" customFormat="1" ht="15" customHeight="1" x14ac:dyDescent="0.25"/>
    <row r="1190" customFormat="1" ht="15" customHeight="1" x14ac:dyDescent="0.25"/>
    <row r="1191" customFormat="1" ht="15" customHeight="1" x14ac:dyDescent="0.25"/>
    <row r="1192" customFormat="1" ht="15" customHeight="1" x14ac:dyDescent="0.25"/>
    <row r="1193" customFormat="1" ht="15" customHeight="1" x14ac:dyDescent="0.25"/>
    <row r="1194" customFormat="1" ht="15" customHeight="1" x14ac:dyDescent="0.25"/>
    <row r="1195" customFormat="1" ht="15" customHeight="1" x14ac:dyDescent="0.25"/>
    <row r="1196" customFormat="1" ht="15" customHeight="1" x14ac:dyDescent="0.25"/>
    <row r="1197" customFormat="1" ht="15" customHeight="1" x14ac:dyDescent="0.25"/>
    <row r="1198" customFormat="1" ht="15" customHeight="1" x14ac:dyDescent="0.25"/>
    <row r="1199" customFormat="1" ht="15" customHeight="1" x14ac:dyDescent="0.25"/>
    <row r="1200" customFormat="1" ht="15" customHeight="1" x14ac:dyDescent="0.25"/>
    <row r="1201" customFormat="1" ht="15" customHeight="1" x14ac:dyDescent="0.25"/>
    <row r="1202" customFormat="1" ht="15" customHeight="1" x14ac:dyDescent="0.25"/>
    <row r="1203" customFormat="1" ht="15" customHeight="1" x14ac:dyDescent="0.25"/>
    <row r="1204" customFormat="1" ht="15" customHeight="1" x14ac:dyDescent="0.25"/>
    <row r="1205" customFormat="1" ht="15" customHeight="1" x14ac:dyDescent="0.25"/>
    <row r="1206" customFormat="1" ht="15" customHeight="1" x14ac:dyDescent="0.25"/>
    <row r="1207" customFormat="1" ht="15" customHeight="1" x14ac:dyDescent="0.25"/>
    <row r="1208" customFormat="1" ht="15" customHeight="1" x14ac:dyDescent="0.25"/>
    <row r="1209" customFormat="1" ht="15" customHeight="1" x14ac:dyDescent="0.25"/>
    <row r="1210" customFormat="1" ht="15" customHeight="1" x14ac:dyDescent="0.25"/>
    <row r="1211" customFormat="1" ht="15" customHeight="1" x14ac:dyDescent="0.25"/>
    <row r="1212" customFormat="1" ht="15" customHeight="1" x14ac:dyDescent="0.25"/>
    <row r="1213" customFormat="1" ht="15" customHeight="1" x14ac:dyDescent="0.25"/>
    <row r="1214" customFormat="1" ht="15" customHeight="1" x14ac:dyDescent="0.25"/>
    <row r="1215" customFormat="1" ht="15" customHeight="1" x14ac:dyDescent="0.25"/>
    <row r="1216" customFormat="1" ht="15" customHeight="1" x14ac:dyDescent="0.25"/>
    <row r="1217" customFormat="1" ht="15" customHeight="1" x14ac:dyDescent="0.25"/>
    <row r="1218" customFormat="1" ht="15" customHeight="1" x14ac:dyDescent="0.25"/>
    <row r="1219" customFormat="1" ht="15" customHeight="1" x14ac:dyDescent="0.25"/>
    <row r="1220" customFormat="1" ht="15" customHeight="1" x14ac:dyDescent="0.25"/>
    <row r="1221" customFormat="1" ht="15" customHeight="1" x14ac:dyDescent="0.25"/>
    <row r="1222" customFormat="1" ht="15" customHeight="1" x14ac:dyDescent="0.25"/>
    <row r="1223" customFormat="1" ht="15" customHeight="1" x14ac:dyDescent="0.25"/>
    <row r="1224" customFormat="1" ht="15" customHeight="1" x14ac:dyDescent="0.25"/>
    <row r="1225" customFormat="1" ht="15" customHeight="1" x14ac:dyDescent="0.25"/>
    <row r="1226" customFormat="1" ht="15" customHeight="1" x14ac:dyDescent="0.25"/>
    <row r="1227" customFormat="1" ht="15" customHeight="1" x14ac:dyDescent="0.25"/>
    <row r="1228" customFormat="1" ht="15" customHeight="1" x14ac:dyDescent="0.25"/>
    <row r="1229" customFormat="1" ht="15" customHeight="1" x14ac:dyDescent="0.25"/>
    <row r="1230" customFormat="1" ht="15" customHeight="1" x14ac:dyDescent="0.25"/>
    <row r="1231" customFormat="1" ht="15" customHeight="1" x14ac:dyDescent="0.25"/>
    <row r="1232" customFormat="1" ht="15" customHeight="1" x14ac:dyDescent="0.25"/>
    <row r="1233" customFormat="1" ht="15" customHeight="1" x14ac:dyDescent="0.25"/>
    <row r="1234" customFormat="1" ht="15" customHeight="1" x14ac:dyDescent="0.25"/>
    <row r="1235" customFormat="1" ht="15" customHeight="1" x14ac:dyDescent="0.25"/>
    <row r="1236" customFormat="1" ht="15" customHeight="1" x14ac:dyDescent="0.25"/>
    <row r="1237" customFormat="1" ht="15" customHeight="1" x14ac:dyDescent="0.25"/>
    <row r="1238" customFormat="1" ht="15" customHeight="1" x14ac:dyDescent="0.25"/>
    <row r="1239" customFormat="1" ht="15" customHeight="1" x14ac:dyDescent="0.25"/>
    <row r="1240" customFormat="1" ht="15" customHeight="1" x14ac:dyDescent="0.25"/>
    <row r="1241" customFormat="1" ht="15" customHeight="1" x14ac:dyDescent="0.25"/>
    <row r="1242" customFormat="1" ht="15" customHeight="1" x14ac:dyDescent="0.25"/>
    <row r="1243" customFormat="1" ht="15" customHeight="1" x14ac:dyDescent="0.25"/>
    <row r="1244" customFormat="1" ht="15" customHeight="1" x14ac:dyDescent="0.25"/>
    <row r="1245" customFormat="1" ht="15" customHeight="1" x14ac:dyDescent="0.25"/>
    <row r="1246" customFormat="1" ht="15" customHeight="1" x14ac:dyDescent="0.25"/>
    <row r="1247" customFormat="1" ht="15" customHeight="1" x14ac:dyDescent="0.25"/>
    <row r="1248" customFormat="1" ht="15" customHeight="1" x14ac:dyDescent="0.25"/>
    <row r="1249" customFormat="1" ht="15" customHeight="1" x14ac:dyDescent="0.25"/>
    <row r="1250" customFormat="1" ht="15" customHeight="1" x14ac:dyDescent="0.25"/>
    <row r="1251" customFormat="1" ht="15" customHeight="1" x14ac:dyDescent="0.25"/>
    <row r="1252" customFormat="1" ht="15" customHeight="1" x14ac:dyDescent="0.25"/>
    <row r="1253" customFormat="1" ht="15" customHeight="1" x14ac:dyDescent="0.25"/>
    <row r="1254" customFormat="1" ht="15" customHeight="1" x14ac:dyDescent="0.25"/>
    <row r="1255" customFormat="1" ht="15" customHeight="1" x14ac:dyDescent="0.25"/>
    <row r="1256" customFormat="1" ht="15" customHeight="1" x14ac:dyDescent="0.25"/>
    <row r="1257" customFormat="1" ht="15" customHeight="1" x14ac:dyDescent="0.25"/>
    <row r="1258" customFormat="1" ht="15" customHeight="1" x14ac:dyDescent="0.25"/>
    <row r="1259" customFormat="1" ht="15" customHeight="1" x14ac:dyDescent="0.25"/>
    <row r="1260" customFormat="1" ht="15" customHeight="1" x14ac:dyDescent="0.25"/>
    <row r="1261" customFormat="1" ht="15" customHeight="1" x14ac:dyDescent="0.25"/>
    <row r="1262" customFormat="1" ht="15" customHeight="1" x14ac:dyDescent="0.25"/>
    <row r="1263" customFormat="1" ht="15" customHeight="1" x14ac:dyDescent="0.25"/>
    <row r="1264" customFormat="1" ht="15" customHeight="1" x14ac:dyDescent="0.25"/>
    <row r="1265" customFormat="1" ht="15" customHeight="1" x14ac:dyDescent="0.25"/>
    <row r="1266" customFormat="1" ht="15" customHeight="1" x14ac:dyDescent="0.25"/>
    <row r="1267" customFormat="1" ht="15" customHeight="1" x14ac:dyDescent="0.25"/>
    <row r="1268" customFormat="1" ht="15" customHeight="1" x14ac:dyDescent="0.25"/>
    <row r="1269" customFormat="1" ht="15" customHeight="1" x14ac:dyDescent="0.25"/>
    <row r="1270" customFormat="1" ht="15" customHeight="1" x14ac:dyDescent="0.25"/>
    <row r="1271" customFormat="1" ht="15" customHeight="1" x14ac:dyDescent="0.25"/>
    <row r="1272" customFormat="1" ht="15" customHeight="1" x14ac:dyDescent="0.25"/>
    <row r="1273" customFormat="1" ht="15" customHeight="1" x14ac:dyDescent="0.25"/>
    <row r="1274" customFormat="1" ht="15" customHeight="1" x14ac:dyDescent="0.25"/>
    <row r="1275" customFormat="1" ht="15" customHeight="1" x14ac:dyDescent="0.25"/>
    <row r="1276" customFormat="1" ht="15" customHeight="1" x14ac:dyDescent="0.25"/>
    <row r="1277" customFormat="1" ht="15" customHeight="1" x14ac:dyDescent="0.25"/>
    <row r="1278" customFormat="1" ht="15" customHeight="1" x14ac:dyDescent="0.25"/>
    <row r="1279" customFormat="1" ht="15" customHeight="1" x14ac:dyDescent="0.25"/>
    <row r="1280" customFormat="1" ht="15" customHeight="1" x14ac:dyDescent="0.25"/>
    <row r="1281" customFormat="1" ht="15" customHeight="1" x14ac:dyDescent="0.25"/>
    <row r="1282" customFormat="1" ht="15" customHeight="1" x14ac:dyDescent="0.25"/>
    <row r="1283" customFormat="1" ht="15" customHeight="1" x14ac:dyDescent="0.25"/>
    <row r="1284" customFormat="1" ht="15" customHeight="1" x14ac:dyDescent="0.25"/>
    <row r="1285" customFormat="1" ht="15" customHeight="1" x14ac:dyDescent="0.25"/>
    <row r="1286" customFormat="1" ht="15" customHeight="1" x14ac:dyDescent="0.25"/>
    <row r="1287" customFormat="1" ht="15" customHeight="1" x14ac:dyDescent="0.25"/>
    <row r="1288" customFormat="1" ht="15" customHeight="1" x14ac:dyDescent="0.25"/>
    <row r="1289" customFormat="1" ht="15" customHeight="1" x14ac:dyDescent="0.25"/>
    <row r="1290" customFormat="1" ht="15" customHeight="1" x14ac:dyDescent="0.25"/>
    <row r="1291" customFormat="1" ht="15" customHeight="1" x14ac:dyDescent="0.25"/>
    <row r="1292" customFormat="1" ht="15" customHeight="1" x14ac:dyDescent="0.25"/>
    <row r="1293" customFormat="1" ht="15" customHeight="1" x14ac:dyDescent="0.25"/>
    <row r="1294" customFormat="1" ht="15" customHeight="1" x14ac:dyDescent="0.25"/>
    <row r="1295" customFormat="1" ht="15" customHeight="1" x14ac:dyDescent="0.25"/>
    <row r="1296" customFormat="1" ht="15" customHeight="1" x14ac:dyDescent="0.25"/>
    <row r="1297" customFormat="1" ht="15" customHeight="1" x14ac:dyDescent="0.25"/>
    <row r="1298" customFormat="1" ht="15" customHeight="1" x14ac:dyDescent="0.25"/>
    <row r="1299" customFormat="1" ht="15" customHeight="1" x14ac:dyDescent="0.25"/>
    <row r="1300" customFormat="1" ht="15" customHeight="1" x14ac:dyDescent="0.25"/>
    <row r="1301" customFormat="1" ht="15" customHeight="1" x14ac:dyDescent="0.25"/>
    <row r="1302" customFormat="1" ht="15" customHeight="1" x14ac:dyDescent="0.25"/>
    <row r="1303" customFormat="1" ht="15" customHeight="1" x14ac:dyDescent="0.25"/>
    <row r="1304" customFormat="1" ht="15" customHeight="1" x14ac:dyDescent="0.25"/>
    <row r="1305" customFormat="1" ht="15" customHeight="1" x14ac:dyDescent="0.25"/>
    <row r="1306" customFormat="1" ht="15" customHeight="1" x14ac:dyDescent="0.25"/>
    <row r="1307" customFormat="1" ht="15" customHeight="1" x14ac:dyDescent="0.25"/>
    <row r="1308" customFormat="1" ht="15" customHeight="1" x14ac:dyDescent="0.25"/>
    <row r="1309" customFormat="1" ht="15" customHeight="1" x14ac:dyDescent="0.25"/>
    <row r="1310" customFormat="1" ht="15" customHeight="1" x14ac:dyDescent="0.25"/>
    <row r="1311" customFormat="1" ht="15" customHeight="1" x14ac:dyDescent="0.25"/>
    <row r="1312" customFormat="1" ht="15" customHeight="1" x14ac:dyDescent="0.25"/>
    <row r="1313" customFormat="1" ht="15" customHeight="1" x14ac:dyDescent="0.25"/>
    <row r="1314" customFormat="1" ht="15" customHeight="1" x14ac:dyDescent="0.25"/>
    <row r="1315" customFormat="1" ht="15" customHeight="1" x14ac:dyDescent="0.25"/>
    <row r="1316" customFormat="1" ht="15" customHeight="1" x14ac:dyDescent="0.25"/>
    <row r="1317" customFormat="1" ht="15" customHeight="1" x14ac:dyDescent="0.25"/>
    <row r="1318" customFormat="1" ht="15" customHeight="1" x14ac:dyDescent="0.25"/>
    <row r="1319" customFormat="1" ht="15" customHeight="1" x14ac:dyDescent="0.25"/>
    <row r="1320" customFormat="1" ht="15" customHeight="1" x14ac:dyDescent="0.25"/>
    <row r="1321" customFormat="1" ht="15" customHeight="1" x14ac:dyDescent="0.25"/>
    <row r="1322" customFormat="1" ht="15" customHeight="1" x14ac:dyDescent="0.25"/>
    <row r="1323" customFormat="1" ht="15" customHeight="1" x14ac:dyDescent="0.25"/>
    <row r="1324" customFormat="1" ht="15" customHeight="1" x14ac:dyDescent="0.25"/>
    <row r="1325" customFormat="1" ht="15" customHeight="1" x14ac:dyDescent="0.25"/>
    <row r="1326" customFormat="1" ht="15" customHeight="1" x14ac:dyDescent="0.25"/>
    <row r="1327" customFormat="1" ht="15" customHeight="1" x14ac:dyDescent="0.25"/>
    <row r="1328" customFormat="1" ht="15" customHeight="1" x14ac:dyDescent="0.25"/>
    <row r="1329" customFormat="1" ht="15" customHeight="1" x14ac:dyDescent="0.25"/>
    <row r="1330" customFormat="1" ht="15" customHeight="1" x14ac:dyDescent="0.25"/>
    <row r="1331" customFormat="1" ht="15" customHeight="1" x14ac:dyDescent="0.25"/>
    <row r="1332" customFormat="1" ht="15" customHeight="1" x14ac:dyDescent="0.25"/>
    <row r="1333" customFormat="1" ht="15" customHeight="1" x14ac:dyDescent="0.25"/>
    <row r="1334" customFormat="1" ht="15" customHeight="1" x14ac:dyDescent="0.25"/>
    <row r="1335" customFormat="1" ht="15" customHeight="1" x14ac:dyDescent="0.25"/>
    <row r="1336" customFormat="1" ht="15" customHeight="1" x14ac:dyDescent="0.25"/>
    <row r="1337" customFormat="1" ht="15" customHeight="1" x14ac:dyDescent="0.25"/>
    <row r="1338" customFormat="1" ht="15" customHeight="1" x14ac:dyDescent="0.25"/>
    <row r="1339" customFormat="1" ht="15" customHeight="1" x14ac:dyDescent="0.25"/>
    <row r="1340" customFormat="1" ht="15" customHeight="1" x14ac:dyDescent="0.25"/>
    <row r="1341" customFormat="1" ht="15" customHeight="1" x14ac:dyDescent="0.25"/>
    <row r="1342" customFormat="1" ht="15" customHeight="1" x14ac:dyDescent="0.25"/>
    <row r="1343" customFormat="1" ht="15" customHeight="1" x14ac:dyDescent="0.25"/>
    <row r="1344" customFormat="1" ht="15" customHeight="1" x14ac:dyDescent="0.25"/>
    <row r="1345" customFormat="1" ht="15" customHeight="1" x14ac:dyDescent="0.25"/>
    <row r="1346" customFormat="1" ht="15" customHeight="1" x14ac:dyDescent="0.25"/>
    <row r="1347" customFormat="1" ht="15" customHeight="1" x14ac:dyDescent="0.25"/>
    <row r="1348" customFormat="1" ht="15" customHeight="1" x14ac:dyDescent="0.25"/>
    <row r="1349" customFormat="1" ht="15" customHeight="1" x14ac:dyDescent="0.25"/>
    <row r="1350" customFormat="1" ht="15" customHeight="1" x14ac:dyDescent="0.25"/>
    <row r="1351" customFormat="1" ht="15" customHeight="1" x14ac:dyDescent="0.25"/>
    <row r="1352" customFormat="1" ht="15" customHeight="1" x14ac:dyDescent="0.25"/>
    <row r="1353" customFormat="1" ht="15" customHeight="1" x14ac:dyDescent="0.25"/>
    <row r="1354" customFormat="1" ht="15" customHeight="1" x14ac:dyDescent="0.25"/>
    <row r="1355" customFormat="1" ht="15" customHeight="1" x14ac:dyDescent="0.25"/>
    <row r="1356" customFormat="1" ht="15" customHeight="1" x14ac:dyDescent="0.25"/>
    <row r="1357" customFormat="1" ht="15" customHeight="1" x14ac:dyDescent="0.25"/>
    <row r="1358" customFormat="1" ht="15" customHeight="1" x14ac:dyDescent="0.25"/>
    <row r="1359" customFormat="1" ht="15" customHeight="1" x14ac:dyDescent="0.25"/>
    <row r="1360" customFormat="1" ht="15" customHeight="1" x14ac:dyDescent="0.25"/>
    <row r="1361" customFormat="1" ht="15" customHeight="1" x14ac:dyDescent="0.25"/>
    <row r="1362" customFormat="1" ht="15" customHeight="1" x14ac:dyDescent="0.25"/>
    <row r="1363" customFormat="1" ht="15" customHeight="1" x14ac:dyDescent="0.25"/>
    <row r="1364" customFormat="1" ht="15" customHeight="1" x14ac:dyDescent="0.25"/>
    <row r="1365" customFormat="1" ht="15" customHeight="1" x14ac:dyDescent="0.25"/>
    <row r="1366" customFormat="1" ht="15" customHeight="1" x14ac:dyDescent="0.25"/>
    <row r="1367" customFormat="1" ht="15" customHeight="1" x14ac:dyDescent="0.25"/>
    <row r="1368" customFormat="1" ht="15" customHeight="1" x14ac:dyDescent="0.25"/>
    <row r="1369" customFormat="1" ht="15" customHeight="1" x14ac:dyDescent="0.25"/>
    <row r="1370" customFormat="1" ht="15" customHeight="1" x14ac:dyDescent="0.25"/>
    <row r="1371" customFormat="1" ht="15" customHeight="1" x14ac:dyDescent="0.25"/>
    <row r="1372" customFormat="1" ht="15" customHeight="1" x14ac:dyDescent="0.25"/>
    <row r="1373" customFormat="1" ht="15" customHeight="1" x14ac:dyDescent="0.25"/>
    <row r="1374" customFormat="1" ht="15" customHeight="1" x14ac:dyDescent="0.25"/>
    <row r="1375" customFormat="1" ht="15" customHeight="1" x14ac:dyDescent="0.25"/>
    <row r="1376" customFormat="1" ht="15" customHeight="1" x14ac:dyDescent="0.25"/>
    <row r="1377" customFormat="1" ht="15" customHeight="1" x14ac:dyDescent="0.25"/>
    <row r="1378" customFormat="1" ht="15" customHeight="1" x14ac:dyDescent="0.25"/>
    <row r="1379" customFormat="1" ht="15" customHeight="1" x14ac:dyDescent="0.25"/>
    <row r="1380" customFormat="1" ht="15" customHeight="1" x14ac:dyDescent="0.25"/>
    <row r="1381" customFormat="1" ht="15" customHeight="1" x14ac:dyDescent="0.25"/>
    <row r="1382" customFormat="1" ht="15" customHeight="1" x14ac:dyDescent="0.25"/>
    <row r="1383" customFormat="1" ht="15" customHeight="1" x14ac:dyDescent="0.25"/>
    <row r="1384" customFormat="1" ht="15" customHeight="1" x14ac:dyDescent="0.25"/>
    <row r="1385" customFormat="1" ht="15" customHeight="1" x14ac:dyDescent="0.25"/>
    <row r="1386" customFormat="1" ht="15" customHeight="1" x14ac:dyDescent="0.25"/>
    <row r="1387" customFormat="1" ht="15" customHeight="1" x14ac:dyDescent="0.25"/>
    <row r="1388" customFormat="1" ht="15" customHeight="1" x14ac:dyDescent="0.25"/>
    <row r="1389" customFormat="1" ht="15" customHeight="1" x14ac:dyDescent="0.25"/>
    <row r="1390" customFormat="1" ht="15" customHeight="1" x14ac:dyDescent="0.25"/>
    <row r="1391" customFormat="1" ht="15" customHeight="1" x14ac:dyDescent="0.25"/>
    <row r="1392" customFormat="1" ht="15" customHeight="1" x14ac:dyDescent="0.25"/>
    <row r="1393" customFormat="1" ht="15" customHeight="1" x14ac:dyDescent="0.25"/>
    <row r="1394" customFormat="1" ht="15" customHeight="1" x14ac:dyDescent="0.25"/>
    <row r="1395" customFormat="1" ht="15" customHeight="1" x14ac:dyDescent="0.25"/>
    <row r="1396" customFormat="1" ht="15" customHeight="1" x14ac:dyDescent="0.25"/>
    <row r="1397" customFormat="1" ht="15" customHeight="1" x14ac:dyDescent="0.25"/>
    <row r="1398" customFormat="1" ht="15" customHeight="1" x14ac:dyDescent="0.25"/>
    <row r="1399" customFormat="1" ht="15" customHeight="1" x14ac:dyDescent="0.25"/>
  </sheetData>
  <mergeCells count="4">
    <mergeCell ref="B2:AF2"/>
    <mergeCell ref="A11:AG11"/>
    <mergeCell ref="A2:A3"/>
    <mergeCell ref="AG2:AG3"/>
  </mergeCells>
  <conditionalFormatting sqref="B5:AF10">
    <cfRule type="expression" priority="1" stopIfTrue="1">
      <formula>B5=""</formula>
    </cfRule>
    <cfRule type="expression" dxfId="61" priority="2" stopIfTrue="1">
      <formula>B5=CléPersonnalisée2</formula>
    </cfRule>
    <cfRule type="expression" dxfId="60" priority="3" stopIfTrue="1">
      <formula>B5=CléPersonnalisée1</formula>
    </cfRule>
    <cfRule type="expression" dxfId="59" priority="4" stopIfTrue="1">
      <formula>B5=CléMaladie</formula>
    </cfRule>
    <cfRule type="expression" dxfId="58" priority="5" stopIfTrue="1">
      <formula>B5=CléPersonnelle</formula>
    </cfRule>
    <cfRule type="expression" dxfId="57" priority="6" stopIfTrue="1">
      <formula>B5=CléCongés</formula>
    </cfRule>
  </conditionalFormatting>
  <conditionalFormatting sqref="AG5:AG10">
    <cfRule type="dataBar" priority="18">
      <dataBar>
        <cfvo type="min"/>
        <cfvo type="num" val="31"/>
        <color theme="2" tint="-0.249977111117893"/>
      </dataBar>
      <extLst>
        <ext xmlns:x14="http://schemas.microsoft.com/office/spreadsheetml/2009/9/main" uri="{B025F937-C7B1-47D3-B67F-A62EFF666E3E}">
          <x14:id>{ECCE2C3C-1B01-4700-B60E-DAAAB19A9C1A}</x14:id>
        </ext>
      </extLst>
    </cfRule>
  </conditionalFormatting>
  <printOptions horizontalCentered="1"/>
  <pageMargins left="0.25" right="0.25" top="0.75" bottom="0.75" header="0.3" footer="0.3"/>
  <pageSetup paperSize="8" fitToHeight="0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CE2C3C-1B01-4700-B60E-DAAAB19A9C1A}">
            <x14:dataBar minLength="0" maxLength="100">
              <x14:cfvo type="autoMin"/>
              <x14:cfvo type="num">
                <xm:f>31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249977111117893"/>
    <pageSetUpPr fitToPage="1"/>
  </sheetPr>
  <dimension ref="A1:AH21"/>
  <sheetViews>
    <sheetView showGridLines="0" workbookViewId="0">
      <selection activeCell="V23" sqref="V23"/>
    </sheetView>
  </sheetViews>
  <sheetFormatPr baseColWidth="10" defaultColWidth="9.125" defaultRowHeight="15" customHeight="1" x14ac:dyDescent="0.25"/>
  <cols>
    <col min="1" max="1" width="24.375" style="15" customWidth="1"/>
    <col min="2" max="32" width="4" style="13" customWidth="1"/>
    <col min="33" max="33" width="20.5" style="12" customWidth="1"/>
    <col min="34" max="34" width="9.125" style="13"/>
    <col min="35" max="16384" width="9.125" style="14"/>
  </cols>
  <sheetData>
    <row r="1" spans="1:34" s="1" customFormat="1" ht="50.25" customHeight="1" x14ac:dyDescent="0.25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3" t="s">
        <v>46</v>
      </c>
      <c r="B2" s="61" t="s">
        <v>54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6">
        <f>CalendrierAnnée</f>
        <v>2023</v>
      </c>
    </row>
    <row r="3" spans="1:34" ht="15.75" customHeight="1" x14ac:dyDescent="0.25">
      <c r="A3" s="63"/>
      <c r="B3" s="25" t="str">
        <f>TEXT(WEEKDAY(DATE(CalendrierAnnée,10,1),1),"jjj")</f>
        <v>dim</v>
      </c>
      <c r="C3" s="26" t="str">
        <f>TEXT(WEEKDAY(DATE(CalendrierAnnée,10,2),1),"jjj")</f>
        <v>lun</v>
      </c>
      <c r="D3" s="26" t="str">
        <f>TEXT(WEEKDAY(DATE(CalendrierAnnée,10,3),1),"jjj")</f>
        <v>mar</v>
      </c>
      <c r="E3" s="26" t="str">
        <f>TEXT(WEEKDAY(DATE(CalendrierAnnée,10,4),1),"jjj")</f>
        <v>mer</v>
      </c>
      <c r="F3" s="26" t="str">
        <f>TEXT(WEEKDAY(DATE(CalendrierAnnée,10,5),1),"jjj")</f>
        <v>jeu</v>
      </c>
      <c r="G3" s="26" t="str">
        <f>TEXT(WEEKDAY(DATE(CalendrierAnnée,10,6),1),"jjj")</f>
        <v>ven</v>
      </c>
      <c r="H3" s="26" t="str">
        <f>TEXT(WEEKDAY(DATE(CalendrierAnnée,10,7),1),"jjj")</f>
        <v>sam</v>
      </c>
      <c r="I3" s="26" t="str">
        <f>TEXT(WEEKDAY(DATE(CalendrierAnnée,10,8),1),"jjj")</f>
        <v>dim</v>
      </c>
      <c r="J3" s="26" t="str">
        <f>TEXT(WEEKDAY(DATE(CalendrierAnnée,10,9),1),"jjj")</f>
        <v>lun</v>
      </c>
      <c r="K3" s="26" t="str">
        <f>TEXT(WEEKDAY(DATE(CalendrierAnnée,10,10),1),"jjj")</f>
        <v>mar</v>
      </c>
      <c r="L3" s="26" t="str">
        <f>TEXT(WEEKDAY(DATE(CalendrierAnnée,10,11),1),"jjj")</f>
        <v>mer</v>
      </c>
      <c r="M3" s="26" t="str">
        <f>TEXT(WEEKDAY(DATE(CalendrierAnnée,10,12),1),"jjj")</f>
        <v>jeu</v>
      </c>
      <c r="N3" s="26" t="str">
        <f>TEXT(WEEKDAY(DATE(CalendrierAnnée,10,13),1),"jjj")</f>
        <v>ven</v>
      </c>
      <c r="O3" s="26" t="str">
        <f>TEXT(WEEKDAY(DATE(CalendrierAnnée,10,14),1),"jjj")</f>
        <v>sam</v>
      </c>
      <c r="P3" s="26" t="str">
        <f>TEXT(WEEKDAY(DATE(CalendrierAnnée,10,15),1),"jjj")</f>
        <v>dim</v>
      </c>
      <c r="Q3" s="26" t="str">
        <f>TEXT(WEEKDAY(DATE(CalendrierAnnée,10,16),1),"jjj")</f>
        <v>lun</v>
      </c>
      <c r="R3" s="26" t="str">
        <f>TEXT(WEEKDAY(DATE(CalendrierAnnée,10,17),1),"jjj")</f>
        <v>mar</v>
      </c>
      <c r="S3" s="26" t="str">
        <f>TEXT(WEEKDAY(DATE(CalendrierAnnée,10,18),1),"jjj")</f>
        <v>mer</v>
      </c>
      <c r="T3" s="26" t="str">
        <f>TEXT(WEEKDAY(DATE(CalendrierAnnée,10,19),1),"jjj")</f>
        <v>jeu</v>
      </c>
      <c r="U3" s="26" t="str">
        <f>TEXT(WEEKDAY(DATE(CalendrierAnnée,10,20),1),"jjj")</f>
        <v>ven</v>
      </c>
      <c r="V3" s="26" t="str">
        <f>TEXT(WEEKDAY(DATE(CalendrierAnnée,10,21),1),"jjj")</f>
        <v>sam</v>
      </c>
      <c r="W3" s="26" t="str">
        <f>TEXT(WEEKDAY(DATE(CalendrierAnnée,10,22),1),"jjj")</f>
        <v>dim</v>
      </c>
      <c r="X3" s="26" t="str">
        <f>TEXT(WEEKDAY(DATE(CalendrierAnnée,10,23),1),"jjj")</f>
        <v>lun</v>
      </c>
      <c r="Y3" s="26" t="str">
        <f>TEXT(WEEKDAY(DATE(CalendrierAnnée,10,24),1),"jjj")</f>
        <v>mar</v>
      </c>
      <c r="Z3" s="26" t="str">
        <f>TEXT(WEEKDAY(DATE(CalendrierAnnée,10,25),1),"jjj")</f>
        <v>mer</v>
      </c>
      <c r="AA3" s="26" t="str">
        <f>TEXT(WEEKDAY(DATE(CalendrierAnnée,10,26),1),"jjj")</f>
        <v>jeu</v>
      </c>
      <c r="AB3" s="26" t="str">
        <f>TEXT(WEEKDAY(DATE(CalendrierAnnée,10,27),1),"jjj")</f>
        <v>ven</v>
      </c>
      <c r="AC3" s="26" t="str">
        <f>TEXT(WEEKDAY(DATE(CalendrierAnnée,10,28),1),"jjj")</f>
        <v>sam</v>
      </c>
      <c r="AD3" s="26" t="str">
        <f>TEXT(WEEKDAY(DATE(CalendrierAnnée,10,29),1),"jjj")</f>
        <v>dim</v>
      </c>
      <c r="AE3" s="26" t="str">
        <f>TEXT(WEEKDAY(DATE(CalendrierAnnée,10,30),1),"jjj")</f>
        <v>lun</v>
      </c>
      <c r="AF3" s="26" t="str">
        <f>TEXT(WEEKDAY(DATE(CalendrierAnnée,10,31),1),"jjj")</f>
        <v>mar</v>
      </c>
      <c r="AG3" s="66"/>
    </row>
    <row r="4" spans="1:34" s="1" customFormat="1" ht="14.45" x14ac:dyDescent="0.3">
      <c r="A4" s="45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2"/>
    </row>
    <row r="5" spans="1:34" s="1" customFormat="1" x14ac:dyDescent="0.25">
      <c r="A5" s="43" t="s">
        <v>49</v>
      </c>
      <c r="B5" s="7"/>
      <c r="C5" s="7"/>
      <c r="D5" s="7"/>
      <c r="E5" s="7"/>
      <c r="F5" s="7"/>
      <c r="G5" s="7" t="s">
        <v>62</v>
      </c>
      <c r="H5" s="7" t="s">
        <v>62</v>
      </c>
      <c r="I5" s="7"/>
      <c r="J5" s="7"/>
      <c r="K5" s="7"/>
      <c r="L5" s="7"/>
      <c r="M5" s="7"/>
      <c r="N5" s="7"/>
      <c r="O5" s="7"/>
      <c r="P5" s="7"/>
      <c r="Q5" s="7"/>
      <c r="R5" s="7" t="s">
        <v>32</v>
      </c>
      <c r="S5" s="7"/>
      <c r="T5" s="7"/>
      <c r="U5" s="7"/>
      <c r="V5" s="7"/>
      <c r="W5" s="7"/>
      <c r="X5" s="7"/>
      <c r="Y5" s="7"/>
      <c r="Z5" s="7"/>
      <c r="AA5" s="7"/>
      <c r="AB5" s="7" t="s">
        <v>62</v>
      </c>
      <c r="AC5" s="7" t="s">
        <v>62</v>
      </c>
      <c r="AD5" s="7" t="s">
        <v>62</v>
      </c>
      <c r="AE5" s="7"/>
      <c r="AF5" s="7"/>
      <c r="AG5" s="11">
        <f>COUNTA(tblOctobre[[#This Row],[1]:[29]])</f>
        <v>6</v>
      </c>
      <c r="AH5" s="2"/>
    </row>
    <row r="6" spans="1:34" s="1" customFormat="1" ht="14.45" x14ac:dyDescent="0.3">
      <c r="A6" s="43" t="s">
        <v>50</v>
      </c>
      <c r="B6" s="7"/>
      <c r="C6" s="7"/>
      <c r="D6" s="7"/>
      <c r="E6" s="7"/>
      <c r="F6" s="7"/>
      <c r="G6" s="7" t="s">
        <v>62</v>
      </c>
      <c r="H6" s="7" t="s">
        <v>62</v>
      </c>
      <c r="I6" s="7"/>
      <c r="J6" s="7"/>
      <c r="K6" s="7"/>
      <c r="L6" s="7"/>
      <c r="M6" s="7"/>
      <c r="N6" s="7"/>
      <c r="O6" s="7"/>
      <c r="P6" s="7"/>
      <c r="Q6" s="7"/>
      <c r="R6" s="7" t="s">
        <v>61</v>
      </c>
      <c r="S6" s="7"/>
      <c r="T6" s="7"/>
      <c r="U6" s="7"/>
      <c r="V6" s="7"/>
      <c r="W6" s="7"/>
      <c r="X6" s="7"/>
      <c r="Y6" s="7"/>
      <c r="Z6" s="7"/>
      <c r="AA6" s="7"/>
      <c r="AB6" s="7" t="s">
        <v>62</v>
      </c>
      <c r="AC6" s="7" t="s">
        <v>62</v>
      </c>
      <c r="AD6" s="7" t="s">
        <v>62</v>
      </c>
      <c r="AE6" s="7"/>
      <c r="AF6" s="7"/>
      <c r="AG6" s="11">
        <f>COUNTA(tblOctobre[[#This Row],[1]:[29]])</f>
        <v>6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 t="s">
        <v>62</v>
      </c>
      <c r="H7" s="7" t="s">
        <v>62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 t="s">
        <v>62</v>
      </c>
      <c r="AC7" s="7" t="s">
        <v>62</v>
      </c>
      <c r="AD7" s="7" t="s">
        <v>62</v>
      </c>
      <c r="AE7" s="7"/>
      <c r="AF7" s="7"/>
      <c r="AG7" s="11">
        <f>COUNTA(tblOctobre[[#This Row],[1]:[29]])</f>
        <v>5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 t="s">
        <v>62</v>
      </c>
      <c r="H8" s="7" t="s">
        <v>62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 t="s">
        <v>62</v>
      </c>
      <c r="AC8" s="7" t="s">
        <v>62</v>
      </c>
      <c r="AD8" s="7" t="s">
        <v>62</v>
      </c>
      <c r="AE8" s="7"/>
      <c r="AF8" s="7"/>
      <c r="AG8" s="11">
        <f>COUNTA(tblOctobre[[#This Row],[1]:[29]])</f>
        <v>5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 t="s">
        <v>62</v>
      </c>
      <c r="H9" s="7" t="s">
        <v>62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 t="s">
        <v>62</v>
      </c>
      <c r="AC9" s="7" t="s">
        <v>62</v>
      </c>
      <c r="AD9" s="7" t="s">
        <v>62</v>
      </c>
      <c r="AE9" s="7"/>
      <c r="AF9" s="7"/>
      <c r="AG9" s="11">
        <f>COUNTA(tblOctobre[[#This Row],[1]:[29]])</f>
        <v>5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/>
      <c r="G10" s="41" t="s">
        <v>62</v>
      </c>
      <c r="H10" s="41" t="s">
        <v>62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 t="s">
        <v>62</v>
      </c>
      <c r="AC10" s="41" t="s">
        <v>62</v>
      </c>
      <c r="AD10" s="41" t="s">
        <v>62</v>
      </c>
      <c r="AE10" s="41"/>
      <c r="AF10" s="41"/>
      <c r="AG10" s="11">
        <f>COUNTA(tblOctobre[[#This Row],[1]:[29]])</f>
        <v>5</v>
      </c>
    </row>
    <row r="11" spans="1:34" ht="15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4" spans="1:34" ht="15" customHeight="1" x14ac:dyDescent="0.25">
      <c r="A14" s="14"/>
      <c r="B14" s="14"/>
      <c r="C14" s="14"/>
      <c r="D14" s="14"/>
      <c r="E14" s="14"/>
      <c r="F14" s="14"/>
      <c r="G14" s="49"/>
      <c r="H14" s="49"/>
      <c r="I14" s="14"/>
      <c r="J14" s="14"/>
      <c r="K14" s="14"/>
      <c r="L14" s="14"/>
      <c r="M14" s="14"/>
      <c r="N14" s="14"/>
      <c r="O14" s="14"/>
      <c r="P14" s="14"/>
      <c r="Q14" s="14"/>
      <c r="R14" s="52" t="s">
        <v>84</v>
      </c>
      <c r="S14" s="14"/>
      <c r="T14" s="14"/>
      <c r="U14" s="14"/>
      <c r="V14" s="14"/>
      <c r="W14" s="14"/>
      <c r="X14" s="14"/>
      <c r="Y14" s="14"/>
      <c r="Z14" s="14"/>
      <c r="AA14" s="14"/>
      <c r="AB14" s="49"/>
      <c r="AC14" s="49"/>
      <c r="AD14" s="49"/>
      <c r="AE14" s="14"/>
      <c r="AF14" s="14"/>
      <c r="AG14" s="14"/>
      <c r="AH14" s="14"/>
    </row>
    <row r="15" spans="1:34" ht="1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52" t="s">
        <v>85</v>
      </c>
      <c r="S15" s="14"/>
      <c r="T15" s="14"/>
      <c r="U15" s="14"/>
      <c r="V15" s="14"/>
      <c r="W15" s="14"/>
      <c r="X15" s="14"/>
      <c r="Y15" s="14"/>
      <c r="Z15" s="14"/>
      <c r="AA15" s="14"/>
      <c r="AB15" s="67"/>
      <c r="AC15" s="67"/>
      <c r="AD15" s="67"/>
      <c r="AE15" s="14"/>
      <c r="AF15" s="14"/>
      <c r="AG15" s="14"/>
      <c r="AH15" s="14"/>
    </row>
    <row r="16" spans="1:34" ht="15" customHeight="1" x14ac:dyDescent="0.25">
      <c r="A16" s="14"/>
      <c r="B16" s="14"/>
      <c r="C16" s="14"/>
      <c r="D16" s="14"/>
      <c r="E16" s="14"/>
      <c r="F16" s="14"/>
      <c r="G16" s="14"/>
      <c r="H16" s="14" t="s">
        <v>80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67"/>
      <c r="AC16" s="67"/>
      <c r="AD16" s="67"/>
      <c r="AE16" s="14"/>
      <c r="AF16" s="14"/>
      <c r="AG16" s="14"/>
      <c r="AH16" s="14"/>
    </row>
    <row r="17" spans="1:34" ht="1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67" t="s">
        <v>82</v>
      </c>
      <c r="AC17" s="67"/>
      <c r="AD17" s="67"/>
      <c r="AE17" s="14"/>
      <c r="AF17" s="14"/>
      <c r="AG17" s="14"/>
      <c r="AH17" s="14"/>
    </row>
    <row r="18" spans="1:34" ht="15" customHeight="1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67"/>
      <c r="AC18" s="67"/>
      <c r="AD18" s="67"/>
      <c r="AE18" s="14"/>
      <c r="AF18" s="14"/>
      <c r="AG18" s="14"/>
      <c r="AH18" s="14"/>
    </row>
    <row r="19" spans="1:34" ht="15" customHeight="1" x14ac:dyDescent="0.25"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67"/>
      <c r="AC19" s="67"/>
      <c r="AD19" s="67"/>
      <c r="AE19" s="14"/>
      <c r="AF19" s="14"/>
      <c r="AG19" s="14"/>
      <c r="AH19" s="14"/>
    </row>
    <row r="20" spans="1:34" ht="15" customHeight="1" x14ac:dyDescent="0.25">
      <c r="C20" s="14"/>
      <c r="D20" s="14"/>
      <c r="E20" s="14"/>
      <c r="F20" s="14"/>
      <c r="G20" s="50"/>
      <c r="H20" s="50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67"/>
      <c r="AC20" s="67"/>
      <c r="AD20" s="67"/>
      <c r="AE20" s="14"/>
      <c r="AF20" s="14"/>
      <c r="AG20" s="14"/>
      <c r="AH20" s="14"/>
    </row>
    <row r="21" spans="1:34" ht="15" customHeight="1" x14ac:dyDescent="0.25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50"/>
      <c r="AC21" s="50"/>
      <c r="AD21" s="50"/>
      <c r="AE21" s="14"/>
      <c r="AF21" s="14"/>
      <c r="AG21" s="14"/>
      <c r="AH21" s="14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  <cfRule type="expression" dxfId="14" priority="2" stopIfTrue="1">
      <formula>B5=CléPersonnalisée2</formula>
    </cfRule>
    <cfRule type="expression" dxfId="13" priority="3" stopIfTrue="1">
      <formula>B5=CléPersonnalisée1</formula>
    </cfRule>
    <cfRule type="expression" dxfId="12" priority="4" stopIfTrue="1">
      <formula>B5=CléMaladie</formula>
    </cfRule>
    <cfRule type="expression" dxfId="11" priority="5" stopIfTrue="1">
      <formula>B5=CléPersonnelle</formula>
    </cfRule>
    <cfRule type="expression" dxfId="10" priority="6" stopIfTrue="1">
      <formula>B5=CléCongés</formula>
    </cfRule>
  </conditionalFormatting>
  <conditionalFormatting sqref="AG5:AG10">
    <cfRule type="dataBar" priority="28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{A550AEEE-9357-4FFF-B99F-F96B7CA41630}</x14:id>
        </ext>
      </extLst>
    </cfRule>
  </conditionalFormatting>
  <pageMargins left="0.25" right="0.25" top="0.75" bottom="0.75" header="0.3" footer="0.3"/>
  <pageSetup paperSize="8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50AEEE-9357-4FFF-B99F-F96B7CA41630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 tint="-0.249977111117893"/>
    <pageSetUpPr fitToPage="1"/>
  </sheetPr>
  <dimension ref="A1:AH21"/>
  <sheetViews>
    <sheetView showGridLines="0" workbookViewId="0">
      <selection activeCell="AC19" sqref="AC19"/>
    </sheetView>
  </sheetViews>
  <sheetFormatPr baseColWidth="10" defaultColWidth="9.125" defaultRowHeight="15" customHeight="1" x14ac:dyDescent="0.25"/>
  <cols>
    <col min="1" max="1" width="24.375" style="15" customWidth="1"/>
    <col min="2" max="32" width="4" style="13" customWidth="1"/>
    <col min="33" max="33" width="20.5" style="12" customWidth="1"/>
    <col min="34" max="34" width="9.125" style="13"/>
    <col min="35" max="16384" width="9.125" style="14"/>
  </cols>
  <sheetData>
    <row r="1" spans="1:34" s="1" customFormat="1" ht="50.25" customHeight="1" x14ac:dyDescent="0.25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3" t="s">
        <v>47</v>
      </c>
      <c r="B2" s="61" t="s">
        <v>54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6">
        <f>CalendrierAnnée</f>
        <v>2023</v>
      </c>
    </row>
    <row r="3" spans="1:34" ht="15.75" customHeight="1" x14ac:dyDescent="0.25">
      <c r="A3" s="63"/>
      <c r="B3" s="25" t="str">
        <f>TEXT(WEEKDAY(DATE(CalendrierAnnée,11,1),1),"jjj")</f>
        <v>mer</v>
      </c>
      <c r="C3" s="26" t="str">
        <f>TEXT(WEEKDAY(DATE(CalendrierAnnée,11,2),1),"jjj")</f>
        <v>jeu</v>
      </c>
      <c r="D3" s="26" t="str">
        <f>TEXT(WEEKDAY(DATE(CalendrierAnnée,11,3),1),"jjj")</f>
        <v>ven</v>
      </c>
      <c r="E3" s="26" t="str">
        <f>TEXT(WEEKDAY(DATE(CalendrierAnnée,11,4),1),"jjj")</f>
        <v>sam</v>
      </c>
      <c r="F3" s="26" t="str">
        <f>TEXT(WEEKDAY(DATE(CalendrierAnnée,11,5),1),"jjj")</f>
        <v>dim</v>
      </c>
      <c r="G3" s="26" t="str">
        <f>TEXT(WEEKDAY(DATE(CalendrierAnnée,11,6),1),"jjj")</f>
        <v>lun</v>
      </c>
      <c r="H3" s="26" t="str">
        <f>TEXT(WEEKDAY(DATE(CalendrierAnnée,11,7),1),"jjj")</f>
        <v>mar</v>
      </c>
      <c r="I3" s="26" t="str">
        <f>TEXT(WEEKDAY(DATE(CalendrierAnnée,11,8),1),"jjj")</f>
        <v>mer</v>
      </c>
      <c r="J3" s="26" t="str">
        <f>TEXT(WEEKDAY(DATE(CalendrierAnnée,11,9),1),"jjj")</f>
        <v>jeu</v>
      </c>
      <c r="K3" s="26" t="str">
        <f>TEXT(WEEKDAY(DATE(CalendrierAnnée,11,10),1),"jjj")</f>
        <v>ven</v>
      </c>
      <c r="L3" s="26" t="str">
        <f>TEXT(WEEKDAY(DATE(CalendrierAnnée,11,11),1),"jjj")</f>
        <v>sam</v>
      </c>
      <c r="M3" s="26" t="str">
        <f>TEXT(WEEKDAY(DATE(CalendrierAnnée,11,12),1),"jjj")</f>
        <v>dim</v>
      </c>
      <c r="N3" s="26" t="str">
        <f>TEXT(WEEKDAY(DATE(CalendrierAnnée,11,13),1),"jjj")</f>
        <v>lun</v>
      </c>
      <c r="O3" s="26" t="str">
        <f>TEXT(WEEKDAY(DATE(CalendrierAnnée,11,14),1),"jjj")</f>
        <v>mar</v>
      </c>
      <c r="P3" s="26" t="str">
        <f>TEXT(WEEKDAY(DATE(CalendrierAnnée,11,15),1),"jjj")</f>
        <v>mer</v>
      </c>
      <c r="Q3" s="26" t="str">
        <f>TEXT(WEEKDAY(DATE(CalendrierAnnée,11,16),1),"jjj")</f>
        <v>jeu</v>
      </c>
      <c r="R3" s="26" t="str">
        <f>TEXT(WEEKDAY(DATE(CalendrierAnnée,11,17),1),"jjj")</f>
        <v>ven</v>
      </c>
      <c r="S3" s="26" t="str">
        <f>TEXT(WEEKDAY(DATE(CalendrierAnnée,11,18),1),"jjj")</f>
        <v>sam</v>
      </c>
      <c r="T3" s="26" t="str">
        <f>TEXT(WEEKDAY(DATE(CalendrierAnnée,11,19),1),"jjj")</f>
        <v>dim</v>
      </c>
      <c r="U3" s="26" t="str">
        <f>TEXT(WEEKDAY(DATE(CalendrierAnnée,11,20),1),"jjj")</f>
        <v>lun</v>
      </c>
      <c r="V3" s="26" t="str">
        <f>TEXT(WEEKDAY(DATE(CalendrierAnnée,11,21),1),"jjj")</f>
        <v>mar</v>
      </c>
      <c r="W3" s="26" t="str">
        <f>TEXT(WEEKDAY(DATE(CalendrierAnnée,11,22),1),"jjj")</f>
        <v>mer</v>
      </c>
      <c r="X3" s="26" t="str">
        <f>TEXT(WEEKDAY(DATE(CalendrierAnnée,11,23),1),"jjj")</f>
        <v>jeu</v>
      </c>
      <c r="Y3" s="26" t="str">
        <f>TEXT(WEEKDAY(DATE(CalendrierAnnée,11,24),1),"jjj")</f>
        <v>ven</v>
      </c>
      <c r="Z3" s="26" t="str">
        <f>TEXT(WEEKDAY(DATE(CalendrierAnnée,11,25),1),"jjj")</f>
        <v>sam</v>
      </c>
      <c r="AA3" s="26" t="str">
        <f>TEXT(WEEKDAY(DATE(CalendrierAnnée,11,26),1),"jjj")</f>
        <v>dim</v>
      </c>
      <c r="AB3" s="26" t="str">
        <f>TEXT(WEEKDAY(DATE(CalendrierAnnée,11,27),1),"jjj")</f>
        <v>lun</v>
      </c>
      <c r="AC3" s="26" t="str">
        <f>TEXT(WEEKDAY(DATE(CalendrierAnnée,11,28),1),"jjj")</f>
        <v>mar</v>
      </c>
      <c r="AD3" s="26" t="str">
        <f>TEXT(WEEKDAY(DATE(CalendrierAnnée,11,29),1),"jjj")</f>
        <v>mer</v>
      </c>
      <c r="AE3" s="26" t="str">
        <f>TEXT(WEEKDAY(DATE(CalendrierAnnée,11,30),1),"jjj")</f>
        <v>jeu</v>
      </c>
      <c r="AF3" s="26"/>
      <c r="AG3" s="66"/>
    </row>
    <row r="4" spans="1:34" s="1" customFormat="1" ht="14.45" x14ac:dyDescent="0.3">
      <c r="A4" s="45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33</v>
      </c>
      <c r="AG4" s="7" t="s">
        <v>31</v>
      </c>
      <c r="AH4" s="2"/>
    </row>
    <row r="5" spans="1:34" s="1" customFormat="1" x14ac:dyDescent="0.25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COUNTA(tblNovembre[[#This Row],[1]:[29]])</f>
        <v>0</v>
      </c>
      <c r="AH5" s="2"/>
    </row>
    <row r="6" spans="1:34" s="1" customFormat="1" ht="14.45" x14ac:dyDescent="0.3">
      <c r="A6" s="43" t="s">
        <v>50</v>
      </c>
      <c r="B6" s="7"/>
      <c r="C6" s="7"/>
      <c r="D6" s="7"/>
      <c r="E6" s="7"/>
      <c r="F6" s="7"/>
      <c r="G6" s="7" t="s">
        <v>62</v>
      </c>
      <c r="H6" s="7" t="s">
        <v>62</v>
      </c>
      <c r="I6" s="7" t="s">
        <v>62</v>
      </c>
      <c r="J6" s="7" t="s">
        <v>62</v>
      </c>
      <c r="K6" s="7" t="s">
        <v>62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">
        <f>COUNTA(tblNovembre[[#This Row],[1]:[29]])</f>
        <v>5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 t="s">
        <v>62</v>
      </c>
      <c r="H7" s="7" t="s">
        <v>62</v>
      </c>
      <c r="I7" s="7" t="s">
        <v>62</v>
      </c>
      <c r="J7" s="7" t="s">
        <v>62</v>
      </c>
      <c r="K7" s="7" t="s">
        <v>62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1">
        <f>COUNTA(tblNovembre[[#This Row],[1]:[29]])</f>
        <v>5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COUNTA(tblNovembre[[#This Row],[1]:[29]])</f>
        <v>0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 t="s">
        <v>61</v>
      </c>
      <c r="AA9" s="7" t="s">
        <v>62</v>
      </c>
      <c r="AB9" s="7"/>
      <c r="AC9" s="7"/>
      <c r="AD9" s="7"/>
      <c r="AE9" s="7"/>
      <c r="AF9" s="7"/>
      <c r="AG9" s="11">
        <f>COUNTA(tblNovembre[[#This Row],[1]:[29]])</f>
        <v>2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2"/>
      <c r="M10" s="42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/>
      <c r="AD10" s="41"/>
      <c r="AE10" s="41"/>
      <c r="AF10" s="41"/>
      <c r="AG10" s="11">
        <f>COUNTA(tblNovembre[[#This Row],[1]:[29]])</f>
        <v>0</v>
      </c>
    </row>
    <row r="11" spans="1:34" ht="15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46"/>
      <c r="X12" s="40" t="str">
        <f>ÉtiquetteCléPersonnalisée2</f>
        <v>Personnalisé 2</v>
      </c>
      <c r="Y12" s="36"/>
      <c r="Z12" s="37"/>
    </row>
    <row r="14" spans="1:34" ht="15" customHeight="1" x14ac:dyDescent="0.25">
      <c r="A14" s="1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67"/>
      <c r="S14" s="67"/>
      <c r="T14" s="67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A15" s="12"/>
      <c r="C15" s="14"/>
      <c r="D15" s="14"/>
      <c r="E15" s="14"/>
      <c r="F15" s="14"/>
      <c r="G15" s="49"/>
      <c r="H15" s="49"/>
      <c r="I15" s="49"/>
      <c r="J15" s="49"/>
      <c r="K15" s="49"/>
      <c r="L15" s="14"/>
      <c r="M15" s="14"/>
      <c r="N15" s="14"/>
      <c r="O15" s="14"/>
      <c r="P15" s="14"/>
      <c r="Q15" s="14"/>
      <c r="R15" s="67"/>
      <c r="S15" s="67"/>
      <c r="T15" s="67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A16" s="12"/>
      <c r="C16" s="14"/>
      <c r="D16" s="14"/>
      <c r="E16" s="14"/>
      <c r="F16" s="14"/>
      <c r="G16" s="50"/>
      <c r="H16" s="50" t="s">
        <v>81</v>
      </c>
      <c r="I16" s="50"/>
      <c r="J16" s="50"/>
      <c r="K16" s="50"/>
      <c r="L16" s="14"/>
      <c r="M16" s="14"/>
      <c r="N16" s="14"/>
      <c r="O16" s="14"/>
      <c r="P16" s="14"/>
      <c r="Q16" s="14"/>
      <c r="R16" s="67"/>
      <c r="S16" s="67"/>
      <c r="T16" s="67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15" customHeight="1" x14ac:dyDescent="0.25">
      <c r="A17" s="1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67"/>
      <c r="S17" s="67"/>
      <c r="T17" s="67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15" customHeight="1" x14ac:dyDescent="0.25">
      <c r="A18" s="12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67"/>
      <c r="S18" s="67"/>
      <c r="T18" s="67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15" customHeight="1" x14ac:dyDescent="0.25">
      <c r="R19" s="68"/>
      <c r="S19" s="68"/>
      <c r="T19" s="68"/>
      <c r="Z19" s="60" t="s">
        <v>86</v>
      </c>
      <c r="AA19" s="60"/>
    </row>
    <row r="20" spans="1:34" ht="15" customHeight="1" x14ac:dyDescent="0.25">
      <c r="R20" s="68"/>
      <c r="S20" s="68"/>
      <c r="T20" s="68"/>
    </row>
    <row r="21" spans="1:34" ht="15" customHeight="1" x14ac:dyDescent="0.25">
      <c r="R21" s="68"/>
      <c r="S21" s="68"/>
      <c r="T21" s="68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  <cfRule type="expression" dxfId="9" priority="2" stopIfTrue="1">
      <formula>B5=CléPersonnalisée2</formula>
    </cfRule>
    <cfRule type="expression" dxfId="8" priority="3" stopIfTrue="1">
      <formula>B5=CléPersonnalisée1</formula>
    </cfRule>
    <cfRule type="expression" dxfId="7" priority="4" stopIfTrue="1">
      <formula>B5=CléMaladie</formula>
    </cfRule>
    <cfRule type="expression" dxfId="6" priority="5" stopIfTrue="1">
      <formula>B5=CléPersonnelle</formula>
    </cfRule>
    <cfRule type="expression" dxfId="5" priority="6" stopIfTrue="1">
      <formula>B5=CléCongés</formula>
    </cfRule>
  </conditionalFormatting>
  <conditionalFormatting sqref="AG5:AG10">
    <cfRule type="dataBar" priority="29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{A15D8916-F091-4425-9705-45472C7168ED}</x14:id>
        </ext>
      </extLst>
    </cfRule>
  </conditionalFormatting>
  <pageMargins left="0.25" right="0.25" top="0.75" bottom="0.75" header="0.3" footer="0.3"/>
  <pageSetup paperSize="8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15D8916-F091-4425-9705-45472C7168ED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/>
    <pageSetUpPr fitToPage="1"/>
  </sheetPr>
  <dimension ref="A1:AH18"/>
  <sheetViews>
    <sheetView showGridLines="0" workbookViewId="0">
      <selection activeCell="W21" sqref="W21"/>
    </sheetView>
  </sheetViews>
  <sheetFormatPr baseColWidth="10" defaultColWidth="9.125" defaultRowHeight="15" customHeight="1" x14ac:dyDescent="0.25"/>
  <cols>
    <col min="1" max="1" width="24.375" style="15" customWidth="1"/>
    <col min="2" max="32" width="4" style="13" customWidth="1"/>
    <col min="33" max="33" width="20.5" style="12" customWidth="1"/>
    <col min="34" max="34" width="9.125" style="13"/>
    <col min="35" max="16384" width="9.125" style="14"/>
  </cols>
  <sheetData>
    <row r="1" spans="1:34" s="1" customFormat="1" ht="50.25" customHeight="1" x14ac:dyDescent="0.25">
      <c r="A1" s="24" t="s">
        <v>64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3" t="s">
        <v>48</v>
      </c>
      <c r="B2" s="61" t="s">
        <v>64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6">
        <f>CalendrierAnnée</f>
        <v>2023</v>
      </c>
    </row>
    <row r="3" spans="1:34" ht="15.75" customHeight="1" x14ac:dyDescent="0.25">
      <c r="A3" s="63"/>
      <c r="B3" s="25" t="str">
        <f>TEXT(WEEKDAY(DATE(CalendrierAnnée,12,1),1),"jjj")</f>
        <v>ven</v>
      </c>
      <c r="C3" s="26" t="str">
        <f>TEXT(WEEKDAY(DATE(CalendrierAnnée,12,2),1),"jjj")</f>
        <v>sam</v>
      </c>
      <c r="D3" s="26" t="str">
        <f>TEXT(WEEKDAY(DATE(CalendrierAnnée,12,3),1),"jjj")</f>
        <v>dim</v>
      </c>
      <c r="E3" s="26" t="str">
        <f>TEXT(WEEKDAY(DATE(CalendrierAnnée,12,4),1),"jjj")</f>
        <v>lun</v>
      </c>
      <c r="F3" s="26" t="str">
        <f>TEXT(WEEKDAY(DATE(CalendrierAnnée,12,5),1),"jjj")</f>
        <v>mar</v>
      </c>
      <c r="G3" s="26" t="str">
        <f>TEXT(WEEKDAY(DATE(CalendrierAnnée,12,6),1),"jjj")</f>
        <v>mer</v>
      </c>
      <c r="H3" s="26" t="str">
        <f>TEXT(WEEKDAY(DATE(CalendrierAnnée,12,7),1),"jjj")</f>
        <v>jeu</v>
      </c>
      <c r="I3" s="26" t="str">
        <f>TEXT(WEEKDAY(DATE(CalendrierAnnée,12,8),1),"jjj")</f>
        <v>ven</v>
      </c>
      <c r="J3" s="26" t="str">
        <f>TEXT(WEEKDAY(DATE(CalendrierAnnée,12,9),1),"jjj")</f>
        <v>sam</v>
      </c>
      <c r="K3" s="26" t="str">
        <f>TEXT(WEEKDAY(DATE(CalendrierAnnée,12,10),1),"jjj")</f>
        <v>dim</v>
      </c>
      <c r="L3" s="26" t="str">
        <f>TEXT(WEEKDAY(DATE(CalendrierAnnée,12,11),1),"jjj")</f>
        <v>lun</v>
      </c>
      <c r="M3" s="26" t="str">
        <f>TEXT(WEEKDAY(DATE(CalendrierAnnée,12,12),1),"jjj")</f>
        <v>mar</v>
      </c>
      <c r="N3" s="26" t="str">
        <f>TEXT(WEEKDAY(DATE(CalendrierAnnée,12,13),1),"jjj")</f>
        <v>mer</v>
      </c>
      <c r="O3" s="26" t="str">
        <f>TEXT(WEEKDAY(DATE(CalendrierAnnée,12,14),1),"jjj")</f>
        <v>jeu</v>
      </c>
      <c r="P3" s="26" t="str">
        <f>TEXT(WEEKDAY(DATE(CalendrierAnnée,12,15),1),"jjj")</f>
        <v>ven</v>
      </c>
      <c r="Q3" s="26" t="str">
        <f>TEXT(WEEKDAY(DATE(CalendrierAnnée,12,16),1),"jjj")</f>
        <v>sam</v>
      </c>
      <c r="R3" s="26" t="str">
        <f>TEXT(WEEKDAY(DATE(CalendrierAnnée,12,17),1),"jjj")</f>
        <v>dim</v>
      </c>
      <c r="S3" s="26" t="str">
        <f>TEXT(WEEKDAY(DATE(CalendrierAnnée,12,18),1),"jjj")</f>
        <v>lun</v>
      </c>
      <c r="T3" s="26" t="str">
        <f>TEXT(WEEKDAY(DATE(CalendrierAnnée,12,19),1),"jjj")</f>
        <v>mar</v>
      </c>
      <c r="U3" s="26" t="str">
        <f>TEXT(WEEKDAY(DATE(CalendrierAnnée,12,20),1),"jjj")</f>
        <v>mer</v>
      </c>
      <c r="V3" s="26" t="str">
        <f>TEXT(WEEKDAY(DATE(CalendrierAnnée,12,21),1),"jjj")</f>
        <v>jeu</v>
      </c>
      <c r="W3" s="26" t="str">
        <f>TEXT(WEEKDAY(DATE(CalendrierAnnée,12,22),1),"jjj")</f>
        <v>ven</v>
      </c>
      <c r="X3" s="26" t="str">
        <f>TEXT(WEEKDAY(DATE(CalendrierAnnée,12,23),1),"jjj")</f>
        <v>sam</v>
      </c>
      <c r="Y3" s="26" t="str">
        <f>TEXT(WEEKDAY(DATE(CalendrierAnnée,12,24),1),"jjj")</f>
        <v>dim</v>
      </c>
      <c r="Z3" s="26" t="str">
        <f>TEXT(WEEKDAY(DATE(CalendrierAnnée,12,25),1),"jjj")</f>
        <v>lun</v>
      </c>
      <c r="AA3" s="26" t="str">
        <f>TEXT(WEEKDAY(DATE(CalendrierAnnée,12,26),1),"jjj")</f>
        <v>mar</v>
      </c>
      <c r="AB3" s="26" t="str">
        <f>TEXT(WEEKDAY(DATE(CalendrierAnnée,12,27),1),"jjj")</f>
        <v>mer</v>
      </c>
      <c r="AC3" s="26" t="str">
        <f>TEXT(WEEKDAY(DATE(CalendrierAnnée,12,28),1),"jjj")</f>
        <v>jeu</v>
      </c>
      <c r="AD3" s="26" t="str">
        <f>TEXT(WEEKDAY(DATE(CalendrierAnnée,12,29),1),"jjj")</f>
        <v>ven</v>
      </c>
      <c r="AE3" s="26" t="str">
        <f>TEXT(WEEKDAY(DATE(CalendrierAnnée,12,30),1),"jjj")</f>
        <v>sam</v>
      </c>
      <c r="AF3" s="26" t="str">
        <f>TEXT(WEEKDAY(DATE(CalendrierAnnée,12,31),1),"jjj")</f>
        <v>dim</v>
      </c>
      <c r="AG3" s="66"/>
    </row>
    <row r="4" spans="1:34" s="1" customFormat="1" ht="14.45" x14ac:dyDescent="0.3">
      <c r="A4" s="45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2"/>
    </row>
    <row r="5" spans="1:34" s="1" customFormat="1" x14ac:dyDescent="0.25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COUNTA(tblDécembre[[#This Row],[1]:[29]])</f>
        <v>0</v>
      </c>
      <c r="AH5" s="2"/>
    </row>
    <row r="6" spans="1:34" s="1" customFormat="1" ht="14.45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 t="s">
        <v>62</v>
      </c>
      <c r="T6" s="7" t="s">
        <v>62</v>
      </c>
      <c r="U6" s="7" t="s">
        <v>62</v>
      </c>
      <c r="V6" s="7" t="s">
        <v>62</v>
      </c>
      <c r="W6" s="7" t="s">
        <v>62</v>
      </c>
      <c r="X6" s="7"/>
      <c r="Y6" s="7"/>
      <c r="Z6" s="7"/>
      <c r="AA6" s="7"/>
      <c r="AB6" s="7"/>
      <c r="AC6" s="7"/>
      <c r="AD6" s="7"/>
      <c r="AE6" s="7"/>
      <c r="AF6" s="7"/>
      <c r="AG6" s="11">
        <f>COUNTA(tblDécembre[[#This Row],[1]:[29]])</f>
        <v>5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 t="s">
        <v>62</v>
      </c>
      <c r="T7" s="7" t="s">
        <v>62</v>
      </c>
      <c r="U7" s="7" t="s">
        <v>62</v>
      </c>
      <c r="V7" s="7" t="s">
        <v>62</v>
      </c>
      <c r="W7" s="7" t="s">
        <v>62</v>
      </c>
      <c r="X7" s="7"/>
      <c r="Y7" s="7"/>
      <c r="Z7" s="7"/>
      <c r="AA7" s="7"/>
      <c r="AB7" s="7"/>
      <c r="AC7" s="7"/>
      <c r="AD7" s="7"/>
      <c r="AE7" s="7"/>
      <c r="AF7" s="7"/>
      <c r="AG7" s="11">
        <f>COUNTA(tblDécembre[[#This Row],[1]:[29]])</f>
        <v>5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COUNTA(tblDécembre[[#This Row],[1]:[29]])</f>
        <v>0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COUNTA(tblDécembre[[#This Row],[1]:[29]])</f>
        <v>0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/>
      <c r="AD10" s="41"/>
      <c r="AE10" s="41"/>
      <c r="AF10" s="41"/>
      <c r="AG10" s="11">
        <f>COUNTA(tblDécembre[[#This Row],[1]:[29]])</f>
        <v>0</v>
      </c>
    </row>
    <row r="11" spans="1:34" ht="15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3" spans="1:34" ht="15" customHeight="1" x14ac:dyDescent="0.25">
      <c r="O13" s="12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ht="15" customHeight="1" x14ac:dyDescent="0.25">
      <c r="I14" s="12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I15" s="12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I16" s="12"/>
      <c r="K16" s="14"/>
      <c r="L16" s="14"/>
      <c r="M16" s="14"/>
      <c r="N16" s="14"/>
      <c r="O16" s="14"/>
      <c r="P16" s="14"/>
      <c r="Q16" s="14"/>
      <c r="R16" s="14"/>
      <c r="S16" s="49"/>
      <c r="T16" s="49"/>
      <c r="U16" s="49"/>
      <c r="V16" s="49"/>
      <c r="W16" s="49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7:34" ht="15" customHeight="1" x14ac:dyDescent="0.25">
      <c r="G17" s="58"/>
      <c r="I17" s="12"/>
      <c r="K17" s="14"/>
      <c r="L17" s="14"/>
      <c r="M17" s="14"/>
      <c r="N17" s="14"/>
      <c r="O17" s="14"/>
      <c r="P17" s="14"/>
      <c r="Q17" s="14"/>
      <c r="R17" s="14"/>
      <c r="S17" s="50"/>
      <c r="T17" s="51" t="s">
        <v>81</v>
      </c>
      <c r="U17" s="50"/>
      <c r="V17" s="50"/>
      <c r="W17" s="50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7:34" ht="15" customHeight="1" x14ac:dyDescent="0.25">
      <c r="O18" s="12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  <cfRule type="expression" dxfId="4" priority="2" stopIfTrue="1">
      <formula>B5=CléPersonnalisée2</formula>
    </cfRule>
    <cfRule type="expression" dxfId="3" priority="3" stopIfTrue="1">
      <formula>B5=CléPersonnalisée1</formula>
    </cfRule>
    <cfRule type="expression" dxfId="2" priority="4" stopIfTrue="1">
      <formula>B5=CléMaladie</formula>
    </cfRule>
    <cfRule type="expression" dxfId="1" priority="5" stopIfTrue="1">
      <formula>B5=CléPersonnelle</formula>
    </cfRule>
    <cfRule type="expression" dxfId="0" priority="6" stopIfTrue="1">
      <formula>B5=CléCongés</formula>
    </cfRule>
  </conditionalFormatting>
  <conditionalFormatting sqref="AG5:AG10">
    <cfRule type="dataBar" priority="30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{17586780-365B-4F4C-BBB4-F5991705D361}</x14:id>
        </ext>
      </extLst>
    </cfRule>
  </conditionalFormatting>
  <pageMargins left="0.25" right="0.25" top="0.75" bottom="0.75" header="0.3" footer="0.3"/>
  <pageSetup paperSize="8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586780-365B-4F4C-BBB4-F5991705D361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749992370372631"/>
    <pageSetUpPr fitToPage="1"/>
  </sheetPr>
  <dimension ref="A1:AH21"/>
  <sheetViews>
    <sheetView showGridLines="0" workbookViewId="0">
      <selection activeCell="AE26" sqref="AE26"/>
    </sheetView>
  </sheetViews>
  <sheetFormatPr baseColWidth="10" defaultColWidth="9.125" defaultRowHeight="15" customHeight="1" x14ac:dyDescent="0.25"/>
  <cols>
    <col min="1" max="1" width="24.375" style="15" customWidth="1"/>
    <col min="2" max="32" width="4" style="13" customWidth="1"/>
    <col min="33" max="33" width="20.5" style="12" customWidth="1"/>
    <col min="34" max="34" width="9.125" style="13"/>
    <col min="35" max="16384" width="9.125" style="14"/>
  </cols>
  <sheetData>
    <row r="1" spans="1:34" s="1" customFormat="1" ht="50.25" customHeight="1" x14ac:dyDescent="0.25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3" t="s">
        <v>38</v>
      </c>
      <c r="B2" s="61" t="s">
        <v>64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6">
        <f>CalendrierAnnée</f>
        <v>2023</v>
      </c>
    </row>
    <row r="3" spans="1:34" ht="15.75" customHeight="1" x14ac:dyDescent="0.25">
      <c r="A3" s="63"/>
      <c r="B3" s="25" t="str">
        <f>TEXT(WEEKDAY(DATE(CalendrierAnnée,2,1),1),"jjj")</f>
        <v>mer</v>
      </c>
      <c r="C3" s="26" t="str">
        <f>TEXT(WEEKDAY(DATE(CalendrierAnnée,2,2),1),"jjj")</f>
        <v>jeu</v>
      </c>
      <c r="D3" s="26" t="str">
        <f>TEXT(WEEKDAY(DATE(CalendrierAnnée,2,3),1),"jjj")</f>
        <v>ven</v>
      </c>
      <c r="E3" s="26" t="str">
        <f>TEXT(WEEKDAY(DATE(CalendrierAnnée,2,4),1),"jjj")</f>
        <v>sam</v>
      </c>
      <c r="F3" s="26" t="str">
        <f>TEXT(WEEKDAY(DATE(CalendrierAnnée,2,5),1),"jjj")</f>
        <v>dim</v>
      </c>
      <c r="G3" s="26" t="str">
        <f>TEXT(WEEKDAY(DATE(CalendrierAnnée,2,6),1),"jjj")</f>
        <v>lun</v>
      </c>
      <c r="H3" s="26" t="str">
        <f>TEXT(WEEKDAY(DATE(CalendrierAnnée,2,7),1),"jjj")</f>
        <v>mar</v>
      </c>
      <c r="I3" s="26" t="str">
        <f>TEXT(WEEKDAY(DATE(CalendrierAnnée,2,8),1),"jjj")</f>
        <v>mer</v>
      </c>
      <c r="J3" s="26" t="str">
        <f>TEXT(WEEKDAY(DATE(CalendrierAnnée,2,9),1),"jjj")</f>
        <v>jeu</v>
      </c>
      <c r="K3" s="26" t="str">
        <f>TEXT(WEEKDAY(DATE(CalendrierAnnée,2,10),1),"jjj")</f>
        <v>ven</v>
      </c>
      <c r="L3" s="26" t="str">
        <f>TEXT(WEEKDAY(DATE(CalendrierAnnée,2,11),1),"jjj")</f>
        <v>sam</v>
      </c>
      <c r="M3" s="26" t="str">
        <f>TEXT(WEEKDAY(DATE(CalendrierAnnée,2,12),1),"jjj")</f>
        <v>dim</v>
      </c>
      <c r="N3" s="26" t="str">
        <f>TEXT(WEEKDAY(DATE(CalendrierAnnée,2,13),1),"jjj")</f>
        <v>lun</v>
      </c>
      <c r="O3" s="26" t="str">
        <f>TEXT(WEEKDAY(DATE(CalendrierAnnée,2,14),1),"jjj")</f>
        <v>mar</v>
      </c>
      <c r="P3" s="26" t="str">
        <f>TEXT(WEEKDAY(DATE(CalendrierAnnée,2,15),1),"jjj")</f>
        <v>mer</v>
      </c>
      <c r="Q3" s="26" t="str">
        <f>TEXT(WEEKDAY(DATE(CalendrierAnnée,2,16),1),"jjj")</f>
        <v>jeu</v>
      </c>
      <c r="R3" s="26" t="str">
        <f>TEXT(WEEKDAY(DATE(CalendrierAnnée,2,17),1),"jjj")</f>
        <v>ven</v>
      </c>
      <c r="S3" s="26" t="str">
        <f>TEXT(WEEKDAY(DATE(CalendrierAnnée,2,18),1),"jjj")</f>
        <v>sam</v>
      </c>
      <c r="T3" s="26" t="str">
        <f>TEXT(WEEKDAY(DATE(CalendrierAnnée,2,19),1),"jjj")</f>
        <v>dim</v>
      </c>
      <c r="U3" s="26" t="str">
        <f>TEXT(WEEKDAY(DATE(CalendrierAnnée,2,20),1),"jjj")</f>
        <v>lun</v>
      </c>
      <c r="V3" s="26" t="str">
        <f>TEXT(WEEKDAY(DATE(CalendrierAnnée,2,21),1),"jjj")</f>
        <v>mar</v>
      </c>
      <c r="W3" s="26" t="str">
        <f>TEXT(WEEKDAY(DATE(CalendrierAnnée,2,22),1),"jjj")</f>
        <v>mer</v>
      </c>
      <c r="X3" s="26" t="str">
        <f>TEXT(WEEKDAY(DATE(CalendrierAnnée,2,23),1),"jjj")</f>
        <v>jeu</v>
      </c>
      <c r="Y3" s="26" t="str">
        <f>TEXT(WEEKDAY(DATE(CalendrierAnnée,2,24),1),"jjj")</f>
        <v>ven</v>
      </c>
      <c r="Z3" s="26" t="str">
        <f>TEXT(WEEKDAY(DATE(CalendrierAnnée,2,25),1),"jjj")</f>
        <v>sam</v>
      </c>
      <c r="AA3" s="26" t="str">
        <f>TEXT(WEEKDAY(DATE(CalendrierAnnée,2,26),1),"jjj")</f>
        <v>dim</v>
      </c>
      <c r="AB3" s="26" t="str">
        <f>TEXT(WEEKDAY(DATE(CalendrierAnnée,2,27),1),"jjj")</f>
        <v>lun</v>
      </c>
      <c r="AC3" s="26" t="str">
        <f>TEXT(WEEKDAY(DATE(CalendrierAnnée,2,28),1),"jjj")</f>
        <v>mar</v>
      </c>
      <c r="AD3" s="26" t="str">
        <f>TEXT(WEEKDAY(DATE(CalendrierAnnée,2,29),1),"jjj")</f>
        <v>mer</v>
      </c>
      <c r="AE3" s="26"/>
      <c r="AF3" s="27"/>
      <c r="AG3" s="66"/>
    </row>
    <row r="4" spans="1:34" s="1" customFormat="1" ht="14.45" x14ac:dyDescent="0.3">
      <c r="A4" s="34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33</v>
      </c>
      <c r="AF4" s="7" t="s">
        <v>34</v>
      </c>
      <c r="AG4" s="7" t="s">
        <v>31</v>
      </c>
      <c r="AH4" s="2"/>
    </row>
    <row r="5" spans="1:34" s="1" customFormat="1" x14ac:dyDescent="0.25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COUNTA(tblFévrier[[#This Row],[1]:[29]])</f>
        <v>0</v>
      </c>
      <c r="AH5" s="2"/>
    </row>
    <row r="6" spans="1:34" s="1" customFormat="1" ht="14.45" x14ac:dyDescent="0.3">
      <c r="A6" s="43" t="s">
        <v>50</v>
      </c>
      <c r="B6" s="7" t="s">
        <v>62</v>
      </c>
      <c r="C6" s="7" t="s">
        <v>62</v>
      </c>
      <c r="D6" s="7" t="s">
        <v>62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">
        <f>COUNTA(tblFévrier[[#This Row],[1]:[29]])</f>
        <v>3</v>
      </c>
      <c r="AH6" s="2"/>
    </row>
    <row r="7" spans="1:34" ht="15" customHeight="1" x14ac:dyDescent="0.25">
      <c r="A7" s="43" t="s">
        <v>51</v>
      </c>
      <c r="B7" s="7" t="s">
        <v>62</v>
      </c>
      <c r="C7" s="7" t="s">
        <v>62</v>
      </c>
      <c r="D7" s="7" t="s">
        <v>62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1">
        <f>COUNTA(tblFévrier[[#This Row],[1]:[29]])</f>
        <v>3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 t="s">
        <v>62</v>
      </c>
      <c r="K8" s="7" t="s">
        <v>62</v>
      </c>
      <c r="L8" s="7" t="s">
        <v>62</v>
      </c>
      <c r="M8" s="7" t="s">
        <v>62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COUNTA(tblFévrier[[#This Row],[1]:[29]])</f>
        <v>4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/>
      <c r="H9" s="7"/>
      <c r="I9" s="7"/>
      <c r="J9" s="7" t="s">
        <v>62</v>
      </c>
      <c r="K9" s="7" t="s">
        <v>62</v>
      </c>
      <c r="L9" s="7" t="s">
        <v>62</v>
      </c>
      <c r="M9" s="7" t="s">
        <v>62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COUNTA(tblFévrier[[#This Row],[1]:[29]])</f>
        <v>4</v>
      </c>
    </row>
    <row r="10" spans="1:34" s="13" customFormat="1" ht="15" customHeight="1" x14ac:dyDescent="0.25">
      <c r="A10" s="44" t="s">
        <v>60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2"/>
      <c r="T10" s="47"/>
      <c r="U10" s="47"/>
      <c r="V10" s="47"/>
      <c r="W10" s="47"/>
      <c r="X10" s="47"/>
      <c r="Y10" s="7"/>
      <c r="Z10" s="47"/>
      <c r="AA10" s="47"/>
      <c r="AB10" s="47"/>
      <c r="AC10" s="47"/>
      <c r="AD10" s="47"/>
      <c r="AE10" s="47"/>
      <c r="AF10" s="47"/>
      <c r="AG10" s="11">
        <f>COUNTA(tblFévrier[[#This Row],[1]:[29]])</f>
        <v>0</v>
      </c>
    </row>
    <row r="11" spans="1:34" ht="15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4" spans="1:34" ht="15" customHeight="1" x14ac:dyDescent="0.25"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B16" s="52" t="s">
        <v>67</v>
      </c>
      <c r="C16" s="53"/>
      <c r="D16" s="5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2:34" ht="15" customHeight="1" x14ac:dyDescent="0.25">
      <c r="B17" s="51"/>
      <c r="C17" s="51"/>
      <c r="D17" s="51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2:34" ht="15" customHeight="1" x14ac:dyDescent="0.25"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2:34" ht="15" customHeight="1" x14ac:dyDescent="0.25">
      <c r="G19" s="14"/>
      <c r="H19" s="14"/>
      <c r="I19" s="14"/>
      <c r="J19" s="49" t="s">
        <v>65</v>
      </c>
      <c r="K19" s="49"/>
      <c r="L19" s="49"/>
      <c r="M19" s="4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2:34" ht="15" customHeight="1" x14ac:dyDescent="0.25">
      <c r="G20" s="14"/>
      <c r="H20" s="14"/>
      <c r="I20" s="14"/>
      <c r="J20" s="50"/>
      <c r="K20" s="50"/>
      <c r="L20" s="50"/>
      <c r="M20" s="50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2:34" ht="15" customHeight="1" x14ac:dyDescent="0.25"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</sheetData>
  <mergeCells count="4">
    <mergeCell ref="B2:AF2"/>
    <mergeCell ref="A11:AG11"/>
    <mergeCell ref="A2:A3"/>
    <mergeCell ref="AG2:AG3"/>
  </mergeCells>
  <conditionalFormatting sqref="B5:AF10">
    <cfRule type="expression" priority="1" stopIfTrue="1">
      <formula>B5=""</formula>
    </cfRule>
    <cfRule type="expression" dxfId="56" priority="2" stopIfTrue="1">
      <formula>B5=CléPersonnalisée2</formula>
    </cfRule>
    <cfRule type="expression" dxfId="55" priority="3" stopIfTrue="1">
      <formula>B5=CléPersonnalisée1</formula>
    </cfRule>
    <cfRule type="expression" dxfId="54" priority="4" stopIfTrue="1">
      <formula>B5=CléMaladie</formula>
    </cfRule>
    <cfRule type="expression" dxfId="53" priority="5" stopIfTrue="1">
      <formula>B5=CléPersonnelle</formula>
    </cfRule>
    <cfRule type="expression" dxfId="52" priority="6" stopIfTrue="1">
      <formula>B5=CléCongés</formula>
    </cfRule>
  </conditionalFormatting>
  <conditionalFormatting sqref="AD3">
    <cfRule type="expression" dxfId="51" priority="13">
      <formula>MONTH(DATE(CalendrierAnnée,2,29))&lt;&gt;2</formula>
    </cfRule>
  </conditionalFormatting>
  <conditionalFormatting sqref="AD4">
    <cfRule type="expression" dxfId="50" priority="14">
      <formula>MONTH(DATE(CalendrierAnnée,2,29))&lt;&gt;2</formula>
    </cfRule>
  </conditionalFormatting>
  <conditionalFormatting sqref="AG5:AG10">
    <cfRule type="dataBar" priority="19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{94738C71-AB78-40C3-A818-D083AE35CC38}</x14:id>
        </ext>
      </extLst>
    </cfRule>
  </conditionalFormatting>
  <pageMargins left="0.25" right="0.25" top="0.75" bottom="0.75" header="0.3" footer="0.3"/>
  <pageSetup paperSize="8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738C71-AB78-40C3-A818-D083AE35CC38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  <pageSetUpPr fitToPage="1"/>
  </sheetPr>
  <dimension ref="A1:AH22"/>
  <sheetViews>
    <sheetView showGridLines="0" workbookViewId="0">
      <selection activeCell="V22" sqref="V22"/>
    </sheetView>
  </sheetViews>
  <sheetFormatPr baseColWidth="10" defaultColWidth="9.125" defaultRowHeight="15" customHeight="1" x14ac:dyDescent="0.25"/>
  <cols>
    <col min="1" max="1" width="24.375" style="15" customWidth="1"/>
    <col min="2" max="32" width="4" style="13" customWidth="1"/>
    <col min="33" max="33" width="20.5" style="12" customWidth="1"/>
    <col min="34" max="34" width="9.125" style="13"/>
    <col min="35" max="16384" width="9.125" style="14"/>
  </cols>
  <sheetData>
    <row r="1" spans="1:34" s="1" customFormat="1" ht="50.25" customHeight="1" x14ac:dyDescent="0.25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3" t="s">
        <v>39</v>
      </c>
      <c r="B2" s="61" t="s">
        <v>64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6">
        <f>CalendrierAnnée</f>
        <v>2023</v>
      </c>
    </row>
    <row r="3" spans="1:34" ht="15.75" customHeight="1" x14ac:dyDescent="0.25">
      <c r="A3" s="63"/>
      <c r="B3" s="25" t="str">
        <f>TEXT(WEEKDAY(DATE(CalendrierAnnée,3,1),1),"jjj")</f>
        <v>mer</v>
      </c>
      <c r="C3" s="26" t="str">
        <f>TEXT(WEEKDAY(DATE(CalendrierAnnée,3,2),1),"jjj")</f>
        <v>jeu</v>
      </c>
      <c r="D3" s="26" t="str">
        <f>TEXT(WEEKDAY(DATE(CalendrierAnnée,3,3),1),"jjj")</f>
        <v>ven</v>
      </c>
      <c r="E3" s="26" t="str">
        <f>TEXT(WEEKDAY(DATE(CalendrierAnnée,3,4),1),"jjj")</f>
        <v>sam</v>
      </c>
      <c r="F3" s="26" t="str">
        <f>TEXT(WEEKDAY(DATE(CalendrierAnnée,3,5),1),"jjj")</f>
        <v>dim</v>
      </c>
      <c r="G3" s="26" t="str">
        <f>TEXT(WEEKDAY(DATE(CalendrierAnnée,3,6),1),"jjj")</f>
        <v>lun</v>
      </c>
      <c r="H3" s="26" t="str">
        <f>TEXT(WEEKDAY(DATE(CalendrierAnnée,3,7),1),"jjj")</f>
        <v>mar</v>
      </c>
      <c r="I3" s="26" t="str">
        <f>TEXT(WEEKDAY(DATE(CalendrierAnnée,3,8),1),"jjj")</f>
        <v>mer</v>
      </c>
      <c r="J3" s="26" t="str">
        <f>TEXT(WEEKDAY(DATE(CalendrierAnnée,3,9),1),"jjj")</f>
        <v>jeu</v>
      </c>
      <c r="K3" s="26" t="str">
        <f>TEXT(WEEKDAY(DATE(CalendrierAnnée,3,10),1),"jjj")</f>
        <v>ven</v>
      </c>
      <c r="L3" s="26" t="str">
        <f>TEXT(WEEKDAY(DATE(CalendrierAnnée,3,11),1),"jjj")</f>
        <v>sam</v>
      </c>
      <c r="M3" s="26" t="str">
        <f>TEXT(WEEKDAY(DATE(CalendrierAnnée,3,12),1),"jjj")</f>
        <v>dim</v>
      </c>
      <c r="N3" s="26" t="str">
        <f>TEXT(WEEKDAY(DATE(CalendrierAnnée,3,13),1),"jjj")</f>
        <v>lun</v>
      </c>
      <c r="O3" s="26" t="str">
        <f>TEXT(WEEKDAY(DATE(CalendrierAnnée,3,14),1),"jjj")</f>
        <v>mar</v>
      </c>
      <c r="P3" s="26" t="str">
        <f>TEXT(WEEKDAY(DATE(CalendrierAnnée,3,15),1),"jjj")</f>
        <v>mer</v>
      </c>
      <c r="Q3" s="26" t="str">
        <f>TEXT(WEEKDAY(DATE(CalendrierAnnée,3,16),1),"jjj")</f>
        <v>jeu</v>
      </c>
      <c r="R3" s="26" t="str">
        <f>TEXT(WEEKDAY(DATE(CalendrierAnnée,3,17),1),"jjj")</f>
        <v>ven</v>
      </c>
      <c r="S3" s="26" t="str">
        <f>TEXT(WEEKDAY(DATE(CalendrierAnnée,3,18),1),"jjj")</f>
        <v>sam</v>
      </c>
      <c r="T3" s="26" t="str">
        <f>TEXT(WEEKDAY(DATE(CalendrierAnnée,3,19),1),"jjj")</f>
        <v>dim</v>
      </c>
      <c r="U3" s="26" t="str">
        <f>TEXT(WEEKDAY(DATE(CalendrierAnnée,3,20),1),"jjj")</f>
        <v>lun</v>
      </c>
      <c r="V3" s="26" t="str">
        <f>TEXT(WEEKDAY(DATE(CalendrierAnnée,3,21),1),"jjj")</f>
        <v>mar</v>
      </c>
      <c r="W3" s="26" t="str">
        <f>TEXT(WEEKDAY(DATE(CalendrierAnnée,3,22),1),"jjj")</f>
        <v>mer</v>
      </c>
      <c r="X3" s="26" t="str">
        <f>TEXT(WEEKDAY(DATE(CalendrierAnnée,3,23),1),"jjj")</f>
        <v>jeu</v>
      </c>
      <c r="Y3" s="26" t="str">
        <f>TEXT(WEEKDAY(DATE(CalendrierAnnée,3,24),1),"jjj")</f>
        <v>ven</v>
      </c>
      <c r="Z3" s="26" t="str">
        <f>TEXT(WEEKDAY(DATE(CalendrierAnnée,3,25),1),"jjj")</f>
        <v>sam</v>
      </c>
      <c r="AA3" s="26" t="str">
        <f>TEXT(WEEKDAY(DATE(CalendrierAnnée,3,26),1),"jjj")</f>
        <v>dim</v>
      </c>
      <c r="AB3" s="26" t="str">
        <f>TEXT(WEEKDAY(DATE(CalendrierAnnée,3,27),1),"jjj")</f>
        <v>lun</v>
      </c>
      <c r="AC3" s="26" t="str">
        <f>TEXT(WEEKDAY(DATE(CalendrierAnnée,3,28),1),"jjj")</f>
        <v>mar</v>
      </c>
      <c r="AD3" s="26" t="str">
        <f>TEXT(WEEKDAY(DATE(CalendrierAnnée,3,29),1),"jjj")</f>
        <v>mer</v>
      </c>
      <c r="AE3" s="26" t="str">
        <f>TEXT(WEEKDAY(DATE(CalendrierAnnée,3,30),1),"jjj")</f>
        <v>jeu</v>
      </c>
      <c r="AF3" s="26" t="str">
        <f>TEXT(WEEKDAY(DATE(CalendrierAnnée,3,31),1),"jjj")</f>
        <v>ven</v>
      </c>
      <c r="AG3" s="66"/>
    </row>
    <row r="4" spans="1:34" s="1" customFormat="1" ht="14.45" x14ac:dyDescent="0.3">
      <c r="A4" s="34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2"/>
    </row>
    <row r="5" spans="1:34" s="1" customFormat="1" x14ac:dyDescent="0.25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 t="s">
        <v>62</v>
      </c>
      <c r="S5" s="7" t="s">
        <v>62</v>
      </c>
      <c r="T5" s="7" t="s">
        <v>62</v>
      </c>
      <c r="U5" s="7" t="s">
        <v>32</v>
      </c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COUNTA(tblMars[[#This Row],[1]:[29]])</f>
        <v>4</v>
      </c>
      <c r="AH5" s="2"/>
    </row>
    <row r="6" spans="1:34" s="1" customFormat="1" ht="14.45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 t="s">
        <v>62</v>
      </c>
      <c r="O6" s="7" t="s">
        <v>62</v>
      </c>
      <c r="P6" s="7" t="s">
        <v>62</v>
      </c>
      <c r="Q6" s="7" t="s">
        <v>62</v>
      </c>
      <c r="R6" s="7" t="s">
        <v>62</v>
      </c>
      <c r="S6" s="7" t="s">
        <v>62</v>
      </c>
      <c r="T6" s="7" t="s">
        <v>62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">
        <f>COUNTA(tblMars[[#This Row],[1]:[29]])</f>
        <v>7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 t="s">
        <v>62</v>
      </c>
      <c r="O7" s="7" t="s">
        <v>62</v>
      </c>
      <c r="P7" s="7" t="s">
        <v>62</v>
      </c>
      <c r="Q7" s="7" t="s">
        <v>62</v>
      </c>
      <c r="R7" s="7" t="s">
        <v>62</v>
      </c>
      <c r="S7" s="7" t="s">
        <v>62</v>
      </c>
      <c r="T7" s="7" t="s">
        <v>62</v>
      </c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1">
        <f>COUNTA(tblMars[[#This Row],[1]:[29]])</f>
        <v>7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62</v>
      </c>
      <c r="S8" s="7" t="s">
        <v>62</v>
      </c>
      <c r="T8" s="7" t="s">
        <v>62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COUNTA(tblMars[[#This Row],[1]:[29]])</f>
        <v>3</v>
      </c>
    </row>
    <row r="9" spans="1:34" s="13" customFormat="1" ht="15" customHeight="1" x14ac:dyDescent="0.25">
      <c r="A9" s="43" t="s">
        <v>53</v>
      </c>
      <c r="B9" s="7" t="s">
        <v>62</v>
      </c>
      <c r="C9" s="7" t="s">
        <v>62</v>
      </c>
      <c r="D9" s="7" t="s">
        <v>62</v>
      </c>
      <c r="E9" s="7" t="s">
        <v>62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s">
        <v>62</v>
      </c>
      <c r="R9" s="7" t="s">
        <v>62</v>
      </c>
      <c r="S9" s="7" t="s">
        <v>62</v>
      </c>
      <c r="T9" s="7" t="s">
        <v>62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COUNTA(tblMars[[#This Row],[1]:[29]])</f>
        <v>8</v>
      </c>
    </row>
    <row r="10" spans="1:34" s="13" customFormat="1" ht="15" customHeight="1" x14ac:dyDescent="0.25">
      <c r="A10" s="44" t="s">
        <v>60</v>
      </c>
      <c r="B10" s="47"/>
      <c r="C10" s="47"/>
      <c r="D10" s="47"/>
      <c r="E10" s="48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8"/>
      <c r="T10" s="47"/>
      <c r="U10" s="47"/>
      <c r="V10" s="47"/>
      <c r="W10" s="47"/>
      <c r="X10" s="47"/>
      <c r="Y10" s="7"/>
      <c r="Z10" s="47"/>
      <c r="AA10" s="47"/>
      <c r="AB10" s="47"/>
      <c r="AC10" s="47"/>
      <c r="AD10" s="47"/>
      <c r="AE10" s="47"/>
      <c r="AF10" s="47"/>
      <c r="AG10" s="11">
        <f>COUNTA(tblMars[[#This Row],[1]:[29]])</f>
        <v>0</v>
      </c>
    </row>
    <row r="11" spans="1:34" ht="15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4" spans="1:34" ht="15" customHeight="1" x14ac:dyDescent="0.25">
      <c r="L14" s="12"/>
      <c r="N14" s="14"/>
      <c r="O14" s="14"/>
      <c r="P14" s="14"/>
      <c r="Q14" s="14"/>
      <c r="R14" s="14"/>
      <c r="S14" s="14"/>
      <c r="T14" s="14"/>
      <c r="U14" s="52" t="s">
        <v>66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54" t="s">
        <v>68</v>
      </c>
      <c r="O15" s="49"/>
      <c r="P15" s="49"/>
      <c r="Q15" s="49"/>
      <c r="R15" s="49"/>
      <c r="S15" s="49"/>
      <c r="T15" s="49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50"/>
      <c r="O16" s="50"/>
      <c r="P16" s="50"/>
      <c r="Q16" s="50"/>
      <c r="R16" s="50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 t="s">
        <v>70</v>
      </c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15" customHeight="1" x14ac:dyDescent="0.25">
      <c r="A18" s="13"/>
      <c r="B18" s="52" t="s">
        <v>69</v>
      </c>
      <c r="C18" s="52"/>
      <c r="D18" s="52"/>
      <c r="E18" s="5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52" t="s">
        <v>73</v>
      </c>
      <c r="R18" s="50"/>
      <c r="S18" s="50"/>
      <c r="T18" s="50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15" customHeight="1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15" customHeight="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ht="15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ht="15" customHeight="1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  <cfRule type="expression" dxfId="49" priority="2" stopIfTrue="1">
      <formula>B5=CléPersonnalisée2</formula>
    </cfRule>
    <cfRule type="expression" dxfId="48" priority="3" stopIfTrue="1">
      <formula>B5=CléPersonnalisée1</formula>
    </cfRule>
    <cfRule type="expression" dxfId="47" priority="4" stopIfTrue="1">
      <formula>B5=CléMaladie</formula>
    </cfRule>
    <cfRule type="expression" dxfId="46" priority="5" stopIfTrue="1">
      <formula>B5=CléPersonnelle</formula>
    </cfRule>
    <cfRule type="expression" dxfId="45" priority="6" stopIfTrue="1">
      <formula>B5=CléCongés</formula>
    </cfRule>
  </conditionalFormatting>
  <conditionalFormatting sqref="AG5:AG10">
    <cfRule type="dataBar" priority="21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{6E72CF57-6FDE-4024-BC4C-B2350417DE61}</x14:id>
        </ext>
      </extLst>
    </cfRule>
  </conditionalFormatting>
  <pageMargins left="0.25" right="0.25" top="0.75" bottom="0.75" header="0.3" footer="0.3"/>
  <pageSetup scale="77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72CF57-6FDE-4024-BC4C-B2350417DE61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  <pageSetUpPr fitToPage="1"/>
  </sheetPr>
  <dimension ref="A1:AH22"/>
  <sheetViews>
    <sheetView showGridLines="0" workbookViewId="0">
      <selection activeCell="F17" sqref="F17"/>
    </sheetView>
  </sheetViews>
  <sheetFormatPr baseColWidth="10" defaultColWidth="9.125" defaultRowHeight="15" customHeight="1" x14ac:dyDescent="0.25"/>
  <cols>
    <col min="1" max="1" width="24.375" style="15" customWidth="1"/>
    <col min="2" max="32" width="4" style="13" customWidth="1"/>
    <col min="33" max="33" width="20.5" style="12" customWidth="1"/>
    <col min="34" max="34" width="9.125" style="13"/>
    <col min="35" max="16384" width="9.125" style="14"/>
  </cols>
  <sheetData>
    <row r="1" spans="1:34" s="1" customFormat="1" ht="50.25" customHeight="1" x14ac:dyDescent="0.25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3" t="s">
        <v>40</v>
      </c>
      <c r="B2" s="61" t="s">
        <v>64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6">
        <f>CalendrierAnnée</f>
        <v>2023</v>
      </c>
    </row>
    <row r="3" spans="1:34" ht="15.75" customHeight="1" x14ac:dyDescent="0.25">
      <c r="A3" s="63"/>
      <c r="B3" s="25" t="str">
        <f>TEXT(WEEKDAY(DATE(CalendrierAnnée,4,1),1),"jjj")</f>
        <v>sam</v>
      </c>
      <c r="C3" s="26" t="str">
        <f>TEXT(WEEKDAY(DATE(CalendrierAnnée,4,2),1),"jjj")</f>
        <v>dim</v>
      </c>
      <c r="D3" s="26" t="str">
        <f>TEXT(WEEKDAY(DATE(CalendrierAnnée,4,3),1),"jjj")</f>
        <v>lun</v>
      </c>
      <c r="E3" s="26" t="str">
        <f>TEXT(WEEKDAY(DATE(CalendrierAnnée,4,4),1),"jjj")</f>
        <v>mar</v>
      </c>
      <c r="F3" s="26" t="str">
        <f>TEXT(WEEKDAY(DATE(CalendrierAnnée,4,5),1),"jjj")</f>
        <v>mer</v>
      </c>
      <c r="G3" s="26" t="str">
        <f>TEXT(WEEKDAY(DATE(CalendrierAnnée,4,6),1),"jjj")</f>
        <v>jeu</v>
      </c>
      <c r="H3" s="26" t="str">
        <f>TEXT(WEEKDAY(DATE(CalendrierAnnée,4,7),1),"jjj")</f>
        <v>ven</v>
      </c>
      <c r="I3" s="26" t="str">
        <f>TEXT(WEEKDAY(DATE(CalendrierAnnée,4,8),1),"jjj")</f>
        <v>sam</v>
      </c>
      <c r="J3" s="26" t="str">
        <f>TEXT(WEEKDAY(DATE(CalendrierAnnée,4,9),1),"jjj")</f>
        <v>dim</v>
      </c>
      <c r="K3" s="26" t="str">
        <f>TEXT(WEEKDAY(DATE(CalendrierAnnée,4,10),1),"jjj")</f>
        <v>lun</v>
      </c>
      <c r="L3" s="26" t="str">
        <f>TEXT(WEEKDAY(DATE(CalendrierAnnée,4,11),1),"jjj")</f>
        <v>mar</v>
      </c>
      <c r="M3" s="26" t="str">
        <f>TEXT(WEEKDAY(DATE(CalendrierAnnée,4,12),1),"jjj")</f>
        <v>mer</v>
      </c>
      <c r="N3" s="26" t="str">
        <f>TEXT(WEEKDAY(DATE(CalendrierAnnée,4,13),1),"jjj")</f>
        <v>jeu</v>
      </c>
      <c r="O3" s="26" t="str">
        <f>TEXT(WEEKDAY(DATE(CalendrierAnnée,4,14),1),"jjj")</f>
        <v>ven</v>
      </c>
      <c r="P3" s="26" t="str">
        <f>TEXT(WEEKDAY(DATE(CalendrierAnnée,4,15),1),"jjj")</f>
        <v>sam</v>
      </c>
      <c r="Q3" s="26" t="str">
        <f>TEXT(WEEKDAY(DATE(CalendrierAnnée,4,16),1),"jjj")</f>
        <v>dim</v>
      </c>
      <c r="R3" s="26" t="str">
        <f>TEXT(WEEKDAY(DATE(CalendrierAnnée,4,17),1),"jjj")</f>
        <v>lun</v>
      </c>
      <c r="S3" s="26" t="str">
        <f>TEXT(WEEKDAY(DATE(CalendrierAnnée,4,18),1),"jjj")</f>
        <v>mar</v>
      </c>
      <c r="T3" s="26" t="str">
        <f>TEXT(WEEKDAY(DATE(CalendrierAnnée,4,19),1),"jjj")</f>
        <v>mer</v>
      </c>
      <c r="U3" s="26" t="str">
        <f>TEXT(WEEKDAY(DATE(CalendrierAnnée,4,20),1),"jjj")</f>
        <v>jeu</v>
      </c>
      <c r="V3" s="26" t="str">
        <f>TEXT(WEEKDAY(DATE(CalendrierAnnée,4,21),1),"jjj")</f>
        <v>ven</v>
      </c>
      <c r="W3" s="26" t="str">
        <f>TEXT(WEEKDAY(DATE(CalendrierAnnée,4,22),1),"jjj")</f>
        <v>sam</v>
      </c>
      <c r="X3" s="26" t="str">
        <f>TEXT(WEEKDAY(DATE(CalendrierAnnée,4,23),1),"jjj")</f>
        <v>dim</v>
      </c>
      <c r="Y3" s="26" t="str">
        <f>TEXT(WEEKDAY(DATE(CalendrierAnnée,4,24),1),"jjj")</f>
        <v>lun</v>
      </c>
      <c r="Z3" s="26" t="str">
        <f>TEXT(WEEKDAY(DATE(CalendrierAnnée,4,25),1),"jjj")</f>
        <v>mar</v>
      </c>
      <c r="AA3" s="26" t="str">
        <f>TEXT(WEEKDAY(DATE(CalendrierAnnée,4,26),1),"jjj")</f>
        <v>mer</v>
      </c>
      <c r="AB3" s="26" t="str">
        <f>TEXT(WEEKDAY(DATE(CalendrierAnnée,4,27),1),"jjj")</f>
        <v>jeu</v>
      </c>
      <c r="AC3" s="26" t="str">
        <f>TEXT(WEEKDAY(DATE(CalendrierAnnée,4,28),1),"jjj")</f>
        <v>ven</v>
      </c>
      <c r="AD3" s="26" t="str">
        <f>TEXT(WEEKDAY(DATE(CalendrierAnnée,4,29),1),"jjj")</f>
        <v>sam</v>
      </c>
      <c r="AE3" s="26" t="str">
        <f>TEXT(WEEKDAY(DATE(CalendrierAnnée,4,30),1),"jjj")</f>
        <v>dim</v>
      </c>
      <c r="AF3" s="26"/>
      <c r="AG3" s="66"/>
    </row>
    <row r="4" spans="1:34" s="1" customFormat="1" ht="14.45" x14ac:dyDescent="0.3">
      <c r="A4" s="34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62</v>
      </c>
      <c r="AE4" s="7" t="s">
        <v>29</v>
      </c>
      <c r="AF4" s="7" t="s">
        <v>33</v>
      </c>
      <c r="AG4" s="7" t="s">
        <v>31</v>
      </c>
      <c r="AH4" s="2"/>
    </row>
    <row r="5" spans="1:34" s="1" customFormat="1" x14ac:dyDescent="0.25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 t="s">
        <v>62</v>
      </c>
      <c r="AD5" s="7" t="s">
        <v>62</v>
      </c>
      <c r="AE5" s="7"/>
      <c r="AF5" s="7"/>
      <c r="AG5" s="11">
        <f>COUNTA(tblAvril[[#This Row],[1]:[J]])</f>
        <v>2</v>
      </c>
      <c r="AH5" s="2"/>
    </row>
    <row r="6" spans="1:34" s="1" customFormat="1" ht="14.45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 t="s">
        <v>62</v>
      </c>
      <c r="Z6" s="7" t="s">
        <v>62</v>
      </c>
      <c r="AA6" s="7" t="s">
        <v>62</v>
      </c>
      <c r="AB6" s="7" t="s">
        <v>62</v>
      </c>
      <c r="AC6" s="7" t="s">
        <v>62</v>
      </c>
      <c r="AD6" s="7" t="s">
        <v>62</v>
      </c>
      <c r="AE6" s="7"/>
      <c r="AF6" s="7"/>
      <c r="AG6" s="11">
        <f>COUNTA(tblAvril[[#This Row],[1]:[J]])</f>
        <v>6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 t="s">
        <v>62</v>
      </c>
      <c r="Z7" s="7" t="s">
        <v>62</v>
      </c>
      <c r="AA7" s="7" t="s">
        <v>62</v>
      </c>
      <c r="AB7" s="7" t="s">
        <v>62</v>
      </c>
      <c r="AC7" s="7" t="s">
        <v>62</v>
      </c>
      <c r="AD7" s="7" t="s">
        <v>62</v>
      </c>
      <c r="AE7" s="7"/>
      <c r="AF7" s="7"/>
      <c r="AG7" s="11">
        <f>COUNTA(tblAvril[[#This Row],[1]:[J]])</f>
        <v>6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 t="s">
        <v>62</v>
      </c>
      <c r="AD8" s="7" t="s">
        <v>62</v>
      </c>
      <c r="AE8" s="7"/>
      <c r="AF8" s="7"/>
      <c r="AG8" s="11">
        <f>COUNTA(tblAvril[[#This Row],[1]:[J]])</f>
        <v>2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 t="s">
        <v>74</v>
      </c>
      <c r="M9" s="7" t="s">
        <v>74</v>
      </c>
      <c r="N9" s="7" t="s">
        <v>74</v>
      </c>
      <c r="O9" s="7" t="s">
        <v>74</v>
      </c>
      <c r="P9" s="7"/>
      <c r="Q9" s="7"/>
      <c r="R9" s="7" t="s">
        <v>62</v>
      </c>
      <c r="S9" s="7" t="s">
        <v>62</v>
      </c>
      <c r="T9" s="7" t="s">
        <v>62</v>
      </c>
      <c r="U9" s="7" t="s">
        <v>62</v>
      </c>
      <c r="V9" s="7" t="s">
        <v>62</v>
      </c>
      <c r="W9" s="7"/>
      <c r="X9" s="7"/>
      <c r="Y9" s="7" t="s">
        <v>62</v>
      </c>
      <c r="Z9" s="7" t="s">
        <v>62</v>
      </c>
      <c r="AA9" s="7" t="s">
        <v>62</v>
      </c>
      <c r="AB9" s="7" t="s">
        <v>62</v>
      </c>
      <c r="AC9" s="7" t="s">
        <v>62</v>
      </c>
      <c r="AD9" s="7" t="s">
        <v>62</v>
      </c>
      <c r="AE9" s="7"/>
      <c r="AF9" s="7"/>
      <c r="AG9" s="11">
        <f>COUNTA(tblAvril[[#This Row],[1]:[J]])</f>
        <v>15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 t="s">
        <v>62</v>
      </c>
      <c r="AD10" s="41" t="s">
        <v>62</v>
      </c>
      <c r="AE10" s="41"/>
      <c r="AF10" s="41"/>
      <c r="AG10" s="11">
        <f>COUNTA(tblAvril[[#This Row],[1]:[J]])</f>
        <v>2</v>
      </c>
    </row>
    <row r="11" spans="1:34" ht="15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3" spans="1:34" ht="15" customHeight="1" x14ac:dyDescent="0.25">
      <c r="AB13" s="12"/>
      <c r="AC13" s="53"/>
      <c r="AD13" s="49"/>
      <c r="AE13" s="14"/>
      <c r="AF13" s="14"/>
      <c r="AG13" s="14"/>
      <c r="AH13" s="14"/>
    </row>
    <row r="14" spans="1:34" ht="15" customHeight="1" x14ac:dyDescent="0.25">
      <c r="J14" s="12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J15" s="12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55" t="s">
        <v>68</v>
      </c>
      <c r="Z15" s="49"/>
      <c r="AA15" s="49"/>
      <c r="AB15" s="49"/>
      <c r="AC15" s="49"/>
      <c r="AD15" s="14"/>
      <c r="AE15" s="14"/>
      <c r="AF15" s="14"/>
      <c r="AG15" s="14"/>
      <c r="AH15" s="14"/>
    </row>
    <row r="16" spans="1:34" ht="15" customHeight="1" x14ac:dyDescent="0.25">
      <c r="J16" s="12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50"/>
      <c r="Z16" s="50"/>
      <c r="AA16" s="50"/>
      <c r="AB16" s="50"/>
      <c r="AC16" s="50"/>
      <c r="AD16" s="14"/>
      <c r="AE16" s="14"/>
      <c r="AF16" s="14"/>
      <c r="AG16" s="14"/>
      <c r="AH16" s="14"/>
    </row>
    <row r="17" spans="6:34" ht="15" customHeight="1" x14ac:dyDescent="0.25">
      <c r="F17" s="58"/>
      <c r="J17" s="12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6:34" ht="15" customHeight="1" x14ac:dyDescent="0.25">
      <c r="J18" s="12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 t="s">
        <v>71</v>
      </c>
      <c r="AD18" s="14"/>
      <c r="AE18" s="14"/>
      <c r="AF18" s="14"/>
      <c r="AG18" s="14"/>
      <c r="AH18" s="14"/>
    </row>
    <row r="19" spans="6:34" ht="15" customHeight="1" x14ac:dyDescent="0.25">
      <c r="J19" s="12"/>
      <c r="L19" s="52" t="s">
        <v>75</v>
      </c>
      <c r="M19" s="52"/>
      <c r="N19" s="52"/>
      <c r="O19" s="52"/>
      <c r="P19" s="14"/>
      <c r="Q19" s="14"/>
      <c r="R19" s="52"/>
      <c r="S19" s="52"/>
      <c r="T19" s="52"/>
      <c r="U19" s="52"/>
      <c r="V19" s="52"/>
      <c r="W19" s="14"/>
      <c r="X19" s="14"/>
      <c r="Y19" s="52"/>
      <c r="Z19" s="52"/>
      <c r="AA19" s="52"/>
      <c r="AB19" s="52"/>
      <c r="AC19" s="14"/>
      <c r="AD19" s="14"/>
      <c r="AE19" s="14"/>
      <c r="AF19" s="14"/>
      <c r="AG19" s="14"/>
      <c r="AH19" s="14"/>
    </row>
    <row r="20" spans="6:34" ht="15" customHeight="1" x14ac:dyDescent="0.25">
      <c r="AB20" s="12"/>
      <c r="AC20" s="51"/>
      <c r="AD20" s="50"/>
      <c r="AE20" s="14"/>
      <c r="AF20" s="14"/>
      <c r="AG20" s="14"/>
      <c r="AH20" s="14"/>
    </row>
    <row r="21" spans="6:34" ht="15" customHeight="1" x14ac:dyDescent="0.25">
      <c r="AB21" s="12"/>
      <c r="AD21" s="14"/>
      <c r="AE21" s="14"/>
      <c r="AF21" s="14"/>
      <c r="AG21" s="14"/>
      <c r="AH21" s="14"/>
    </row>
    <row r="22" spans="6:34" ht="15" customHeight="1" x14ac:dyDescent="0.25">
      <c r="AF22" s="12"/>
      <c r="AG22" s="13"/>
      <c r="AH22" s="14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  <cfRule type="expression" dxfId="44" priority="2" stopIfTrue="1">
      <formula>B5=CléPersonnalisée2</formula>
    </cfRule>
    <cfRule type="expression" dxfId="43" priority="3" stopIfTrue="1">
      <formula>B5=CléPersonnalisée1</formula>
    </cfRule>
    <cfRule type="expression" dxfId="42" priority="4" stopIfTrue="1">
      <formula>B5=CléMaladie</formula>
    </cfRule>
    <cfRule type="expression" dxfId="41" priority="5" stopIfTrue="1">
      <formula>B5=CléPersonnelle</formula>
    </cfRule>
    <cfRule type="expression" dxfId="40" priority="6" stopIfTrue="1">
      <formula>B5=CléCongés</formula>
    </cfRule>
  </conditionalFormatting>
  <conditionalFormatting sqref="AG5:AG10">
    <cfRule type="dataBar" priority="22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{9F84199F-9F40-4560-9610-01EAA5EACF75}</x14:id>
        </ext>
      </extLst>
    </cfRule>
  </conditionalFormatting>
  <pageMargins left="0.25" right="0.25" top="0.75" bottom="0.75" header="0.3" footer="0.3"/>
  <pageSetup scale="77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84199F-9F40-4560-9610-01EAA5EACF75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AH22"/>
  <sheetViews>
    <sheetView showGridLines="0" workbookViewId="0">
      <selection activeCell="AD21" sqref="AD21"/>
    </sheetView>
  </sheetViews>
  <sheetFormatPr baseColWidth="10" defaultColWidth="9.125" defaultRowHeight="15" customHeight="1" x14ac:dyDescent="0.25"/>
  <cols>
    <col min="1" max="1" width="24.375" style="15" customWidth="1"/>
    <col min="2" max="32" width="4" style="13" customWidth="1"/>
    <col min="33" max="33" width="20.5" style="12" customWidth="1"/>
    <col min="34" max="34" width="9.125" style="13"/>
    <col min="35" max="16384" width="9.125" style="14"/>
  </cols>
  <sheetData>
    <row r="1" spans="1:34" s="1" customFormat="1" ht="50.25" customHeight="1" x14ac:dyDescent="0.25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3" t="s">
        <v>41</v>
      </c>
      <c r="B2" s="61" t="s">
        <v>64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6">
        <f>CalendrierAnnée</f>
        <v>2023</v>
      </c>
    </row>
    <row r="3" spans="1:34" ht="15.75" customHeight="1" x14ac:dyDescent="0.25">
      <c r="A3" s="63"/>
      <c r="B3" s="25" t="str">
        <f>TEXT(WEEKDAY(DATE(CalendrierAnnée,5,1),1),"jjj")</f>
        <v>lun</v>
      </c>
      <c r="C3" s="26" t="str">
        <f>TEXT(WEEKDAY(DATE(CalendrierAnnée,5,2),1),"jjj")</f>
        <v>mar</v>
      </c>
      <c r="D3" s="26" t="str">
        <f>TEXT(WEEKDAY(DATE(CalendrierAnnée,5,3),1),"jjj")</f>
        <v>mer</v>
      </c>
      <c r="E3" s="26" t="str">
        <f>TEXT(WEEKDAY(DATE(CalendrierAnnée,5,4),1),"jjj")</f>
        <v>jeu</v>
      </c>
      <c r="F3" s="26" t="str">
        <f>TEXT(WEEKDAY(DATE(CalendrierAnnée,5,5),1),"jjj")</f>
        <v>ven</v>
      </c>
      <c r="G3" s="26" t="str">
        <f>TEXT(WEEKDAY(DATE(CalendrierAnnée,5,6),1),"jjj")</f>
        <v>sam</v>
      </c>
      <c r="H3" s="26" t="str">
        <f>TEXT(WEEKDAY(DATE(CalendrierAnnée,5,7),1),"jjj")</f>
        <v>dim</v>
      </c>
      <c r="I3" s="26" t="str">
        <f>TEXT(WEEKDAY(DATE(CalendrierAnnée,5,8),1),"jjj")</f>
        <v>lun</v>
      </c>
      <c r="J3" s="26" t="str">
        <f>TEXT(WEEKDAY(DATE(CalendrierAnnée,5,9),1),"jjj")</f>
        <v>mar</v>
      </c>
      <c r="K3" s="26" t="str">
        <f>TEXT(WEEKDAY(DATE(CalendrierAnnée,5,10),1),"jjj")</f>
        <v>mer</v>
      </c>
      <c r="L3" s="26" t="str">
        <f>TEXT(WEEKDAY(DATE(CalendrierAnnée,5,11),1),"jjj")</f>
        <v>jeu</v>
      </c>
      <c r="M3" s="26" t="str">
        <f>TEXT(WEEKDAY(DATE(CalendrierAnnée,5,12),1),"jjj")</f>
        <v>ven</v>
      </c>
      <c r="N3" s="26" t="str">
        <f>TEXT(WEEKDAY(DATE(CalendrierAnnée,5,13),1),"jjj")</f>
        <v>sam</v>
      </c>
      <c r="O3" s="26" t="str">
        <f>TEXT(WEEKDAY(DATE(CalendrierAnnée,5,14),1),"jjj")</f>
        <v>dim</v>
      </c>
      <c r="P3" s="26" t="str">
        <f>TEXT(WEEKDAY(DATE(CalendrierAnnée,5,15),1),"jjj")</f>
        <v>lun</v>
      </c>
      <c r="Q3" s="26" t="str">
        <f>TEXT(WEEKDAY(DATE(CalendrierAnnée,5,16),1),"jjj")</f>
        <v>mar</v>
      </c>
      <c r="R3" s="26" t="str">
        <f>TEXT(WEEKDAY(DATE(CalendrierAnnée,5,17),1),"jjj")</f>
        <v>mer</v>
      </c>
      <c r="S3" s="26" t="str">
        <f>TEXT(WEEKDAY(DATE(CalendrierAnnée,5,18),1),"jjj")</f>
        <v>jeu</v>
      </c>
      <c r="T3" s="26" t="str">
        <f>TEXT(WEEKDAY(DATE(CalendrierAnnée,5,19),1),"jjj")</f>
        <v>ven</v>
      </c>
      <c r="U3" s="26" t="str">
        <f>TEXT(WEEKDAY(DATE(CalendrierAnnée,5,20),1),"jjj")</f>
        <v>sam</v>
      </c>
      <c r="V3" s="26" t="str">
        <f>TEXT(WEEKDAY(DATE(CalendrierAnnée,5,21),1),"jjj")</f>
        <v>dim</v>
      </c>
      <c r="W3" s="26" t="str">
        <f>TEXT(WEEKDAY(DATE(CalendrierAnnée,5,22),1),"jjj")</f>
        <v>lun</v>
      </c>
      <c r="X3" s="26" t="str">
        <f>TEXT(WEEKDAY(DATE(CalendrierAnnée,5,23),1),"jjj")</f>
        <v>mar</v>
      </c>
      <c r="Y3" s="26" t="str">
        <f>TEXT(WEEKDAY(DATE(CalendrierAnnée,5,24),1),"jjj")</f>
        <v>mer</v>
      </c>
      <c r="Z3" s="26" t="str">
        <f>TEXT(WEEKDAY(DATE(CalendrierAnnée,5,25),1),"jjj")</f>
        <v>jeu</v>
      </c>
      <c r="AA3" s="26" t="str">
        <f>TEXT(WEEKDAY(DATE(CalendrierAnnée,5,26),1),"jjj")</f>
        <v>ven</v>
      </c>
      <c r="AB3" s="26" t="str">
        <f>TEXT(WEEKDAY(DATE(CalendrierAnnée,5,27),1),"jjj")</f>
        <v>sam</v>
      </c>
      <c r="AC3" s="26" t="str">
        <f>TEXT(WEEKDAY(DATE(CalendrierAnnée,5,28),1),"jjj")</f>
        <v>dim</v>
      </c>
      <c r="AD3" s="26" t="str">
        <f>TEXT(WEEKDAY(DATE(CalendrierAnnée,5,29),1),"jjj")</f>
        <v>lun</v>
      </c>
      <c r="AE3" s="26" t="str">
        <f>TEXT(WEEKDAY(DATE(CalendrierAnnée,5,30),1),"jjj")</f>
        <v>mar</v>
      </c>
      <c r="AF3" s="26" t="str">
        <f>TEXT(WEEKDAY(DATE(CalendrierAnnée,5,31),1),"jjj")</f>
        <v>mer</v>
      </c>
      <c r="AG3" s="66"/>
    </row>
    <row r="4" spans="1:34" s="1" customFormat="1" ht="14.45" x14ac:dyDescent="0.3">
      <c r="A4" s="45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2"/>
    </row>
    <row r="5" spans="1:34" s="1" customFormat="1" x14ac:dyDescent="0.25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 t="s">
        <v>62</v>
      </c>
      <c r="M5" s="7" t="s">
        <v>62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COUNTA(tblMai[[#This Row],[1]:[29]])</f>
        <v>2</v>
      </c>
      <c r="AH5" s="2"/>
    </row>
    <row r="6" spans="1:34" s="1" customFormat="1" ht="14.45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 t="s">
        <v>62</v>
      </c>
      <c r="M6" s="7" t="s">
        <v>62</v>
      </c>
      <c r="N6" s="7"/>
      <c r="O6" s="7"/>
      <c r="P6" s="7"/>
      <c r="Q6" s="7"/>
      <c r="R6" s="7"/>
      <c r="S6" s="7"/>
      <c r="T6" s="7"/>
      <c r="U6" s="7"/>
      <c r="V6" s="7"/>
      <c r="W6" s="7" t="s">
        <v>62</v>
      </c>
      <c r="X6" s="7" t="s">
        <v>62</v>
      </c>
      <c r="Y6" s="7" t="s">
        <v>62</v>
      </c>
      <c r="Z6" s="7" t="s">
        <v>62</v>
      </c>
      <c r="AA6" s="7" t="s">
        <v>62</v>
      </c>
      <c r="AB6" s="7"/>
      <c r="AC6" s="7"/>
      <c r="AD6" s="7"/>
      <c r="AE6" s="7"/>
      <c r="AF6" s="7"/>
      <c r="AG6" s="11">
        <f>COUNTA(tblMai[[#This Row],[1]:[29]])</f>
        <v>7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 t="s">
        <v>62</v>
      </c>
      <c r="M7" s="7" t="s">
        <v>62</v>
      </c>
      <c r="N7" s="7"/>
      <c r="O7" s="7"/>
      <c r="P7" s="7"/>
      <c r="Q7" s="7"/>
      <c r="R7" s="7"/>
      <c r="S7" s="7"/>
      <c r="T7" s="7"/>
      <c r="U7" s="7"/>
      <c r="V7" s="7"/>
      <c r="W7" s="7" t="s">
        <v>62</v>
      </c>
      <c r="X7" s="7" t="s">
        <v>62</v>
      </c>
      <c r="Y7" s="7" t="s">
        <v>62</v>
      </c>
      <c r="Z7" s="7" t="s">
        <v>62</v>
      </c>
      <c r="AA7" s="7" t="s">
        <v>62</v>
      </c>
      <c r="AB7" s="7"/>
      <c r="AC7" s="7"/>
      <c r="AD7" s="7"/>
      <c r="AE7" s="7"/>
      <c r="AF7" s="7"/>
      <c r="AG7" s="11">
        <f>COUNTA(tblMai[[#This Row],[1]:[29]])</f>
        <v>7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 t="s">
        <v>62</v>
      </c>
      <c r="K8" s="7" t="s">
        <v>62</v>
      </c>
      <c r="L8" s="7" t="s">
        <v>62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COUNTA(tblMai[[#This Row],[1]:[29]])</f>
        <v>3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62</v>
      </c>
      <c r="AB9" s="7"/>
      <c r="AC9" s="7"/>
      <c r="AD9" s="7"/>
      <c r="AE9" s="7"/>
      <c r="AF9" s="7"/>
      <c r="AG9" s="11">
        <f>COUNTA(tblMai[[#This Row],[1]:[29]])</f>
        <v>1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/>
      <c r="AD10" s="41"/>
      <c r="AE10" s="41"/>
      <c r="AF10" s="41"/>
      <c r="AG10" s="11">
        <f>COUNTA(tblMai[[#This Row],[1]:[29]])</f>
        <v>0</v>
      </c>
    </row>
    <row r="11" spans="1:34" ht="15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4" spans="1:34" ht="15" customHeight="1" x14ac:dyDescent="0.25">
      <c r="H14" s="12"/>
      <c r="J14" s="14"/>
      <c r="K14" s="14"/>
      <c r="L14" s="49"/>
      <c r="M14" s="49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H15" s="12"/>
      <c r="J15" s="14"/>
      <c r="K15" s="14"/>
      <c r="L15" s="14" t="s">
        <v>77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49"/>
      <c r="X15" s="49"/>
      <c r="Y15" s="49"/>
      <c r="Z15" s="49"/>
      <c r="AA15" s="49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H16" s="12"/>
      <c r="J16" s="14"/>
      <c r="K16" s="14"/>
      <c r="L16" s="50"/>
      <c r="M16" s="50"/>
      <c r="N16" s="14"/>
      <c r="O16" s="14"/>
      <c r="P16" s="14"/>
      <c r="R16" s="14"/>
      <c r="S16" s="14"/>
      <c r="T16" s="14"/>
      <c r="U16" s="14"/>
      <c r="V16" s="14"/>
      <c r="W16" s="50" t="s">
        <v>67</v>
      </c>
      <c r="X16" s="50"/>
      <c r="Y16" s="50"/>
      <c r="Z16" s="50"/>
      <c r="AA16" s="50"/>
      <c r="AB16" s="14"/>
      <c r="AC16" s="14"/>
      <c r="AD16" s="14"/>
      <c r="AE16" s="14"/>
      <c r="AF16" s="14"/>
      <c r="AG16" s="14"/>
      <c r="AH16" s="14"/>
    </row>
    <row r="17" spans="8:34" ht="15" customHeight="1" x14ac:dyDescent="0.25">
      <c r="H17" s="12"/>
      <c r="J17" s="52" t="s">
        <v>76</v>
      </c>
      <c r="K17" s="52"/>
      <c r="L17" s="50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8:34" ht="15" customHeight="1" x14ac:dyDescent="0.25">
      <c r="H18" s="12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52" t="s">
        <v>77</v>
      </c>
      <c r="AB18" s="14"/>
      <c r="AC18" s="14"/>
      <c r="AD18" s="14"/>
      <c r="AE18" s="14"/>
      <c r="AF18" s="14"/>
      <c r="AG18" s="14"/>
      <c r="AH18" s="14"/>
    </row>
    <row r="19" spans="8:34" ht="15" customHeight="1" x14ac:dyDescent="0.25">
      <c r="H19" s="12"/>
      <c r="J19" s="14"/>
      <c r="K19" s="14"/>
      <c r="L19" s="14"/>
      <c r="M19" s="14"/>
      <c r="N19" s="14"/>
      <c r="O19" s="14"/>
      <c r="P19" s="14"/>
      <c r="Q19" s="14"/>
      <c r="R19" s="14"/>
      <c r="S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8:34" ht="15" customHeight="1" x14ac:dyDescent="0.25">
      <c r="X20" s="12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8:34" ht="15" customHeight="1" x14ac:dyDescent="0.25">
      <c r="X21" s="12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8:34" ht="15" customHeight="1" x14ac:dyDescent="0.25">
      <c r="X22" s="12"/>
      <c r="Z22" s="14"/>
      <c r="AA22" s="14"/>
      <c r="AB22" s="14"/>
      <c r="AC22" s="14"/>
      <c r="AD22" s="14"/>
      <c r="AE22" s="14"/>
      <c r="AF22" s="14"/>
      <c r="AG22" s="14"/>
      <c r="AH22" s="14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  <cfRule type="expression" dxfId="39" priority="2" stopIfTrue="1">
      <formula>B5=CléPersonnalisée2</formula>
    </cfRule>
    <cfRule type="expression" dxfId="38" priority="3" stopIfTrue="1">
      <formula>B5=CléPersonnalisée1</formula>
    </cfRule>
    <cfRule type="expression" dxfId="37" priority="4" stopIfTrue="1">
      <formula>B5=CléMaladie</formula>
    </cfRule>
    <cfRule type="expression" dxfId="36" priority="5" stopIfTrue="1">
      <formula>B5=CléPersonnelle</formula>
    </cfRule>
    <cfRule type="expression" dxfId="35" priority="6" stopIfTrue="1">
      <formula>B5=CléCongés</formula>
    </cfRule>
  </conditionalFormatting>
  <conditionalFormatting sqref="AG5:AG10">
    <cfRule type="dataBar" priority="23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{21200745-4ED2-4331-A492-FDEB5AAF3195}</x14:id>
        </ext>
      </extLst>
    </cfRule>
  </conditionalFormatting>
  <pageMargins left="0.7" right="0.7" top="0.75" bottom="0.75" header="0.3" footer="0.3"/>
  <pageSetup paperSize="8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200745-4ED2-4331-A492-FDEB5AAF3195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/>
    <pageSetUpPr fitToPage="1"/>
  </sheetPr>
  <dimension ref="A1:AH22"/>
  <sheetViews>
    <sheetView showGridLines="0" workbookViewId="0">
      <selection activeCell="P8" sqref="P8"/>
    </sheetView>
  </sheetViews>
  <sheetFormatPr baseColWidth="10" defaultColWidth="9.125" defaultRowHeight="15" customHeight="1" x14ac:dyDescent="0.25"/>
  <cols>
    <col min="1" max="1" width="24.375" style="15" customWidth="1"/>
    <col min="2" max="32" width="4" style="13" customWidth="1"/>
    <col min="33" max="33" width="20.5" style="12" customWidth="1"/>
    <col min="34" max="34" width="9.125" style="13"/>
    <col min="35" max="16384" width="9.125" style="14"/>
  </cols>
  <sheetData>
    <row r="1" spans="1:34" s="1" customFormat="1" ht="50.25" customHeight="1" x14ac:dyDescent="0.25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3" t="s">
        <v>42</v>
      </c>
      <c r="B2" s="61" t="s">
        <v>64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6">
        <f>CalendrierAnnée</f>
        <v>2023</v>
      </c>
    </row>
    <row r="3" spans="1:34" ht="15.75" customHeight="1" x14ac:dyDescent="0.25">
      <c r="A3" s="63"/>
      <c r="B3" s="25" t="str">
        <f>TEXT(WEEKDAY(DATE(CalendrierAnnée,6,1),1),"jjj")</f>
        <v>jeu</v>
      </c>
      <c r="C3" s="26" t="str">
        <f>TEXT(WEEKDAY(DATE(CalendrierAnnée,6,2),1),"jjj")</f>
        <v>ven</v>
      </c>
      <c r="D3" s="26" t="str">
        <f>TEXT(WEEKDAY(DATE(CalendrierAnnée,6,3),1),"jjj")</f>
        <v>sam</v>
      </c>
      <c r="E3" s="26" t="str">
        <f>TEXT(WEEKDAY(DATE(CalendrierAnnée,6,4),1),"jjj")</f>
        <v>dim</v>
      </c>
      <c r="F3" s="26" t="str">
        <f>TEXT(WEEKDAY(DATE(CalendrierAnnée,6,5),1),"jjj")</f>
        <v>lun</v>
      </c>
      <c r="G3" s="26" t="str">
        <f>TEXT(WEEKDAY(DATE(CalendrierAnnée,6,6),1),"jjj")</f>
        <v>mar</v>
      </c>
      <c r="H3" s="26" t="str">
        <f>TEXT(WEEKDAY(DATE(CalendrierAnnée,6,7),1),"jjj")</f>
        <v>mer</v>
      </c>
      <c r="I3" s="26" t="str">
        <f>TEXT(WEEKDAY(DATE(CalendrierAnnée,6,8),1),"jjj")</f>
        <v>jeu</v>
      </c>
      <c r="J3" s="26" t="str">
        <f>TEXT(WEEKDAY(DATE(CalendrierAnnée,6,9),1),"jjj")</f>
        <v>ven</v>
      </c>
      <c r="K3" s="26" t="str">
        <f>TEXT(WEEKDAY(DATE(CalendrierAnnée,6,10),1),"jjj")</f>
        <v>sam</v>
      </c>
      <c r="L3" s="26" t="str">
        <f>TEXT(WEEKDAY(DATE(CalendrierAnnée,6,11),1),"jjj")</f>
        <v>dim</v>
      </c>
      <c r="M3" s="26" t="str">
        <f>TEXT(WEEKDAY(DATE(CalendrierAnnée,6,12),1),"jjj")</f>
        <v>lun</v>
      </c>
      <c r="N3" s="26" t="str">
        <f>TEXT(WEEKDAY(DATE(CalendrierAnnée,6,13),1),"jjj")</f>
        <v>mar</v>
      </c>
      <c r="O3" s="26" t="str">
        <f>TEXT(WEEKDAY(DATE(CalendrierAnnée,6,14),1),"jjj")</f>
        <v>mer</v>
      </c>
      <c r="P3" s="26" t="str">
        <f>TEXT(WEEKDAY(DATE(CalendrierAnnée,6,15),1),"jjj")</f>
        <v>jeu</v>
      </c>
      <c r="Q3" s="26" t="str">
        <f>TEXT(WEEKDAY(DATE(CalendrierAnnée,6,16),1),"jjj")</f>
        <v>ven</v>
      </c>
      <c r="R3" s="26" t="str">
        <f>TEXT(WEEKDAY(DATE(CalendrierAnnée,6,17),1),"jjj")</f>
        <v>sam</v>
      </c>
      <c r="S3" s="26" t="str">
        <f>TEXT(WEEKDAY(DATE(CalendrierAnnée,6,18),1),"jjj")</f>
        <v>dim</v>
      </c>
      <c r="T3" s="26" t="str">
        <f>TEXT(WEEKDAY(DATE(CalendrierAnnée,6,19),1),"jjj")</f>
        <v>lun</v>
      </c>
      <c r="U3" s="26" t="str">
        <f>TEXT(WEEKDAY(DATE(CalendrierAnnée,6,20),1),"jjj")</f>
        <v>mar</v>
      </c>
      <c r="V3" s="26" t="str">
        <f>TEXT(WEEKDAY(DATE(CalendrierAnnée,6,21),1),"jjj")</f>
        <v>mer</v>
      </c>
      <c r="W3" s="26" t="str">
        <f>TEXT(WEEKDAY(DATE(CalendrierAnnée,6,22),1),"jjj")</f>
        <v>jeu</v>
      </c>
      <c r="X3" s="26" t="str">
        <f>TEXT(WEEKDAY(DATE(CalendrierAnnée,6,23),1),"jjj")</f>
        <v>ven</v>
      </c>
      <c r="Y3" s="26" t="str">
        <f>TEXT(WEEKDAY(DATE(CalendrierAnnée,6,24),1),"jjj")</f>
        <v>sam</v>
      </c>
      <c r="Z3" s="26" t="str">
        <f>TEXT(WEEKDAY(DATE(CalendrierAnnée,6,25),1),"jjj")</f>
        <v>dim</v>
      </c>
      <c r="AA3" s="26" t="str">
        <f>TEXT(WEEKDAY(DATE(CalendrierAnnée,6,26),1),"jjj")</f>
        <v>lun</v>
      </c>
      <c r="AB3" s="26" t="str">
        <f>TEXT(WEEKDAY(DATE(CalendrierAnnée,6,27),1),"jjj")</f>
        <v>mar</v>
      </c>
      <c r="AC3" s="26" t="str">
        <f>TEXT(WEEKDAY(DATE(CalendrierAnnée,6,28),1),"jjj")</f>
        <v>mer</v>
      </c>
      <c r="AD3" s="26" t="str">
        <f>TEXT(WEEKDAY(DATE(CalendrierAnnée,6,29),1),"jjj")</f>
        <v>jeu</v>
      </c>
      <c r="AE3" s="26" t="str">
        <f>TEXT(WEEKDAY(DATE(CalendrierAnnée,6,30),1),"jjj")</f>
        <v>ven</v>
      </c>
      <c r="AF3" s="26"/>
      <c r="AG3" s="66"/>
    </row>
    <row r="4" spans="1:34" s="1" customFormat="1" ht="14.45" x14ac:dyDescent="0.3">
      <c r="A4" s="45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33</v>
      </c>
      <c r="AG4" s="7" t="s">
        <v>31</v>
      </c>
      <c r="AH4" s="2"/>
    </row>
    <row r="5" spans="1:34" s="1" customFormat="1" x14ac:dyDescent="0.25">
      <c r="A5" s="43" t="s">
        <v>49</v>
      </c>
      <c r="B5" s="7"/>
      <c r="C5" s="7"/>
      <c r="D5" s="7"/>
      <c r="E5" s="7"/>
      <c r="F5" s="7" t="s">
        <v>62</v>
      </c>
      <c r="G5" s="7" t="s">
        <v>62</v>
      </c>
      <c r="H5" s="7" t="s">
        <v>62</v>
      </c>
      <c r="I5" s="7" t="s">
        <v>62</v>
      </c>
      <c r="J5" s="7" t="s">
        <v>62</v>
      </c>
      <c r="K5" s="7" t="s">
        <v>62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COUNTA(tblJuin[[#This Row],[1]:[29]])</f>
        <v>6</v>
      </c>
      <c r="AH5" s="2"/>
    </row>
    <row r="6" spans="1:34" s="1" customFormat="1" ht="14.45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">
        <f>COUNTA(tblJuin[[#This Row],[1]:[29]])</f>
        <v>0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1">
        <f>COUNTA(tblJuin[[#This Row],[1]:[29]])</f>
        <v>0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COUNTA(tblJuin[[#This Row],[1]:[29]])</f>
        <v>0</v>
      </c>
    </row>
    <row r="9" spans="1:34" s="13" customFormat="1" ht="15" customHeight="1" x14ac:dyDescent="0.25">
      <c r="A9" s="43" t="s">
        <v>53</v>
      </c>
      <c r="B9" s="7"/>
      <c r="C9" s="7"/>
      <c r="D9" s="7" t="s">
        <v>62</v>
      </c>
      <c r="E9" s="7" t="s">
        <v>62</v>
      </c>
      <c r="F9" s="7" t="s">
        <v>62</v>
      </c>
      <c r="G9" s="7" t="s">
        <v>62</v>
      </c>
      <c r="H9" s="7" t="s">
        <v>62</v>
      </c>
      <c r="I9" s="7" t="s">
        <v>62</v>
      </c>
      <c r="J9" s="7" t="s">
        <v>62</v>
      </c>
      <c r="K9" s="7" t="s">
        <v>62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COUNTA(tblJuin[[#This Row],[1]:[29]])</f>
        <v>8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 t="s">
        <v>62</v>
      </c>
      <c r="G10" s="41" t="s">
        <v>62</v>
      </c>
      <c r="H10" s="41" t="s">
        <v>62</v>
      </c>
      <c r="I10" s="41" t="s">
        <v>62</v>
      </c>
      <c r="J10" s="41" t="s">
        <v>62</v>
      </c>
      <c r="K10" s="41" t="s">
        <v>62</v>
      </c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/>
      <c r="AD10" s="41"/>
      <c r="AE10" s="41"/>
      <c r="AF10" s="41"/>
      <c r="AG10" s="11">
        <f>COUNTA(tblJuin[[#This Row],[1]:[29]])</f>
        <v>6</v>
      </c>
    </row>
    <row r="11" spans="1:34" ht="15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4" spans="1:34" ht="15" customHeight="1" x14ac:dyDescent="0.25">
      <c r="E14" s="12"/>
      <c r="F14" s="53"/>
      <c r="G14" s="49"/>
      <c r="H14" s="49"/>
      <c r="I14" s="49"/>
      <c r="J14" s="49"/>
      <c r="K14" s="49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E15" s="12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B16" s="58"/>
      <c r="E16" s="12"/>
      <c r="G16" s="14"/>
      <c r="H16" s="14"/>
      <c r="I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5:34" ht="15" customHeight="1" x14ac:dyDescent="0.25">
      <c r="E17" s="12"/>
      <c r="G17" s="14"/>
      <c r="H17" s="14"/>
      <c r="I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5:34" ht="15" customHeight="1" x14ac:dyDescent="0.25">
      <c r="E18" s="1"/>
      <c r="G18" s="58" t="s">
        <v>72</v>
      </c>
      <c r="AC18" s="12"/>
      <c r="AE18" s="14"/>
      <c r="AF18" s="14"/>
      <c r="AG18" s="14"/>
      <c r="AH18" s="14"/>
    </row>
    <row r="19" spans="5:34" ht="15" customHeight="1" x14ac:dyDescent="0.25">
      <c r="H19" s="13" t="s">
        <v>69</v>
      </c>
      <c r="AC19" s="12"/>
      <c r="AE19" s="14"/>
      <c r="AF19" s="14"/>
      <c r="AG19" s="14"/>
      <c r="AH19" s="14"/>
    </row>
    <row r="20" spans="5:34" ht="15" customHeight="1" x14ac:dyDescent="0.25">
      <c r="AC20" s="12"/>
      <c r="AE20" s="14"/>
      <c r="AF20" s="14"/>
      <c r="AG20" s="14"/>
      <c r="AH20" s="14"/>
    </row>
    <row r="21" spans="5:34" ht="15" customHeight="1" x14ac:dyDescent="0.25">
      <c r="F21" s="51"/>
      <c r="G21" s="51"/>
      <c r="H21" s="51"/>
      <c r="I21" s="51"/>
      <c r="J21" s="51"/>
      <c r="K21" s="51"/>
      <c r="AC21" s="12"/>
      <c r="AE21" s="14"/>
      <c r="AF21" s="14"/>
      <c r="AG21" s="14"/>
      <c r="AH21" s="14"/>
    </row>
    <row r="22" spans="5:34" ht="15" customHeight="1" x14ac:dyDescent="0.25">
      <c r="AC22" s="12"/>
      <c r="AE22" s="14"/>
      <c r="AF22" s="14"/>
      <c r="AG22" s="14"/>
      <c r="AH22" s="14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  <cfRule type="expression" dxfId="34" priority="2" stopIfTrue="1">
      <formula>B5=CléPersonnalisée2</formula>
    </cfRule>
    <cfRule type="expression" dxfId="33" priority="3" stopIfTrue="1">
      <formula>B5=CléPersonnalisée1</formula>
    </cfRule>
    <cfRule type="expression" dxfId="32" priority="4" stopIfTrue="1">
      <formula>B5=CléMaladie</formula>
    </cfRule>
    <cfRule type="expression" dxfId="31" priority="5" stopIfTrue="1">
      <formula>B5=CléPersonnelle</formula>
    </cfRule>
    <cfRule type="expression" dxfId="30" priority="6" stopIfTrue="1">
      <formula>B5=CléCongés</formula>
    </cfRule>
  </conditionalFormatting>
  <conditionalFormatting sqref="AG5:AG10">
    <cfRule type="dataBar" priority="24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{FA2C5745-D9F6-46CB-8A63-694F9E52E516}</x14:id>
        </ext>
      </extLst>
    </cfRule>
  </conditionalFormatting>
  <pageMargins left="0.7" right="0.7" top="0.75" bottom="0.75" header="0.3" footer="0.3"/>
  <pageSetup paperSize="8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2C5745-D9F6-46CB-8A63-694F9E52E516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89999084444715716"/>
    <pageSetUpPr fitToPage="1"/>
  </sheetPr>
  <dimension ref="A1:AH15"/>
  <sheetViews>
    <sheetView showGridLines="0" workbookViewId="0">
      <selection activeCell="U23" sqref="U23"/>
    </sheetView>
  </sheetViews>
  <sheetFormatPr baseColWidth="10" defaultColWidth="9.125" defaultRowHeight="15" customHeight="1" x14ac:dyDescent="0.25"/>
  <cols>
    <col min="1" max="1" width="24.375" style="15" customWidth="1"/>
    <col min="2" max="32" width="4" style="13" customWidth="1"/>
    <col min="33" max="33" width="20.5" style="12" customWidth="1"/>
    <col min="34" max="34" width="9.125" style="13"/>
    <col min="35" max="16384" width="9.125" style="14"/>
  </cols>
  <sheetData>
    <row r="1" spans="1:34" s="1" customFormat="1" ht="50.25" customHeight="1" x14ac:dyDescent="0.25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3" t="s">
        <v>43</v>
      </c>
      <c r="B2" s="61" t="s">
        <v>64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6">
        <f>CalendrierAnnée</f>
        <v>2023</v>
      </c>
    </row>
    <row r="3" spans="1:34" ht="15.75" customHeight="1" x14ac:dyDescent="0.25">
      <c r="A3" s="63"/>
      <c r="B3" s="25" t="str">
        <f>TEXT(WEEKDAY(DATE(CalendrierAnnée,7,1),1),"jjj")</f>
        <v>sam</v>
      </c>
      <c r="C3" s="26" t="str">
        <f>TEXT(WEEKDAY(DATE(CalendrierAnnée,7,2),1),"jjj")</f>
        <v>dim</v>
      </c>
      <c r="D3" s="26" t="str">
        <f>TEXT(WEEKDAY(DATE(CalendrierAnnée,7,3),1),"jjj")</f>
        <v>lun</v>
      </c>
      <c r="E3" s="26" t="str">
        <f>TEXT(WEEKDAY(DATE(CalendrierAnnée,7,4),1),"jjj")</f>
        <v>mar</v>
      </c>
      <c r="F3" s="26" t="str">
        <f>TEXT(WEEKDAY(DATE(CalendrierAnnée,7,5),1),"jjj")</f>
        <v>mer</v>
      </c>
      <c r="G3" s="26" t="str">
        <f>TEXT(WEEKDAY(DATE(CalendrierAnnée,7,6),1),"jjj")</f>
        <v>jeu</v>
      </c>
      <c r="H3" s="26" t="str">
        <f>TEXT(WEEKDAY(DATE(CalendrierAnnée,7,7),1),"jjj")</f>
        <v>ven</v>
      </c>
      <c r="I3" s="26" t="str">
        <f>TEXT(WEEKDAY(DATE(CalendrierAnnée,7,8),1),"jjj")</f>
        <v>sam</v>
      </c>
      <c r="J3" s="26" t="str">
        <f>TEXT(WEEKDAY(DATE(CalendrierAnnée,7,9),1),"jjj")</f>
        <v>dim</v>
      </c>
      <c r="K3" s="26" t="str">
        <f>TEXT(WEEKDAY(DATE(CalendrierAnnée,7,10),1),"jjj")</f>
        <v>lun</v>
      </c>
      <c r="L3" s="26" t="str">
        <f>TEXT(WEEKDAY(DATE(CalendrierAnnée,7,11),1),"jjj")</f>
        <v>mar</v>
      </c>
      <c r="M3" s="26" t="str">
        <f>TEXT(WEEKDAY(DATE(CalendrierAnnée,7,12),1),"jjj")</f>
        <v>mer</v>
      </c>
      <c r="N3" s="26" t="str">
        <f>TEXT(WEEKDAY(DATE(CalendrierAnnée,7,13),1),"jjj")</f>
        <v>jeu</v>
      </c>
      <c r="O3" s="26" t="str">
        <f>TEXT(WEEKDAY(DATE(CalendrierAnnée,7,14),1),"jjj")</f>
        <v>ven</v>
      </c>
      <c r="P3" s="26" t="str">
        <f>TEXT(WEEKDAY(DATE(CalendrierAnnée,7,15),1),"jjj")</f>
        <v>sam</v>
      </c>
      <c r="Q3" s="26" t="str">
        <f>TEXT(WEEKDAY(DATE(CalendrierAnnée,7,16),1),"jjj")</f>
        <v>dim</v>
      </c>
      <c r="R3" s="26" t="str">
        <f>TEXT(WEEKDAY(DATE(CalendrierAnnée,7,17),1),"jjj")</f>
        <v>lun</v>
      </c>
      <c r="S3" s="26" t="str">
        <f>TEXT(WEEKDAY(DATE(CalendrierAnnée,7,18),1),"jjj")</f>
        <v>mar</v>
      </c>
      <c r="T3" s="26" t="str">
        <f>TEXT(WEEKDAY(DATE(CalendrierAnnée,7,19),1),"jjj")</f>
        <v>mer</v>
      </c>
      <c r="U3" s="26" t="str">
        <f>TEXT(WEEKDAY(DATE(CalendrierAnnée,7,20),1),"jjj")</f>
        <v>jeu</v>
      </c>
      <c r="V3" s="26" t="str">
        <f>TEXT(WEEKDAY(DATE(CalendrierAnnée,7,21),1),"jjj")</f>
        <v>ven</v>
      </c>
      <c r="W3" s="26" t="str">
        <f>TEXT(WEEKDAY(DATE(CalendrierAnnée,7,22),1),"jjj")</f>
        <v>sam</v>
      </c>
      <c r="X3" s="26" t="str">
        <f>TEXT(WEEKDAY(DATE(CalendrierAnnée,7,23),1),"jjj")</f>
        <v>dim</v>
      </c>
      <c r="Y3" s="26" t="str">
        <f>TEXT(WEEKDAY(DATE(CalendrierAnnée,7,24),1),"jjj")</f>
        <v>lun</v>
      </c>
      <c r="Z3" s="26" t="str">
        <f>TEXT(WEEKDAY(DATE(CalendrierAnnée,7,25),1),"jjj")</f>
        <v>mar</v>
      </c>
      <c r="AA3" s="26" t="str">
        <f>TEXT(WEEKDAY(DATE(CalendrierAnnée,7,26),1),"jjj")</f>
        <v>mer</v>
      </c>
      <c r="AB3" s="26" t="str">
        <f>TEXT(WEEKDAY(DATE(CalendrierAnnée,7,27),1),"jjj")</f>
        <v>jeu</v>
      </c>
      <c r="AC3" s="26" t="str">
        <f>TEXT(WEEKDAY(DATE(CalendrierAnnée,7,28),1),"jjj")</f>
        <v>ven</v>
      </c>
      <c r="AD3" s="26" t="str">
        <f>TEXT(WEEKDAY(DATE(CalendrierAnnée,7,29),1),"jjj")</f>
        <v>sam</v>
      </c>
      <c r="AE3" s="26" t="str">
        <f>TEXT(WEEKDAY(DATE(CalendrierAnnée,7,30),1),"jjj")</f>
        <v>dim</v>
      </c>
      <c r="AF3" s="26" t="str">
        <f>TEXT(WEEKDAY(DATE(CalendrierAnnée,7,31),1),"jjj")</f>
        <v>lun</v>
      </c>
      <c r="AG3" s="66"/>
    </row>
    <row r="4" spans="1:34" s="1" customFormat="1" ht="14.45" x14ac:dyDescent="0.3">
      <c r="A4" s="45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2"/>
    </row>
    <row r="5" spans="1:34" s="1" customFormat="1" x14ac:dyDescent="0.25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COUNTA(tblJuillet[[#This Row],[1]:[29]])</f>
        <v>0</v>
      </c>
      <c r="AH5" s="2"/>
    </row>
    <row r="6" spans="1:34" s="1" customFormat="1" ht="14.45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">
        <f>COUNTA(tblJuillet[[#This Row],[1]:[29]])</f>
        <v>0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1">
        <f>COUNTA(tblJuillet[[#This Row],[1]:[29]])</f>
        <v>0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COUNTA(tblJuillet[[#This Row],[1]:[29]])</f>
        <v>0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 t="s">
        <v>62</v>
      </c>
      <c r="M9" s="7" t="s">
        <v>62</v>
      </c>
      <c r="N9" s="7" t="s">
        <v>62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COUNTA(tblJuillet[[#This Row],[1]:[29]])</f>
        <v>3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/>
      <c r="AD10" s="41"/>
      <c r="AE10" s="41"/>
      <c r="AF10" s="41"/>
      <c r="AG10" s="11">
        <f>COUNTA(tblJuillet[[#This Row],[1]:[29]])</f>
        <v>0</v>
      </c>
    </row>
    <row r="11" spans="1:34" ht="15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5" spans="1:34" ht="15" customHeight="1" x14ac:dyDescent="0.25">
      <c r="L15" s="60" t="s">
        <v>78</v>
      </c>
      <c r="M15" s="60"/>
      <c r="N15" s="60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  <cfRule type="expression" dxfId="29" priority="2" stopIfTrue="1">
      <formula>B5=CléPersonnalisée2</formula>
    </cfRule>
    <cfRule type="expression" dxfId="28" priority="3" stopIfTrue="1">
      <formula>B5=CléPersonnalisée1</formula>
    </cfRule>
    <cfRule type="expression" dxfId="27" priority="4" stopIfTrue="1">
      <formula>B5=CléMaladie</formula>
    </cfRule>
    <cfRule type="expression" dxfId="26" priority="5" stopIfTrue="1">
      <formula>B5=CléPersonnelle</formula>
    </cfRule>
    <cfRule type="expression" dxfId="25" priority="6" stopIfTrue="1">
      <formula>B5=CléCongés</formula>
    </cfRule>
  </conditionalFormatting>
  <conditionalFormatting sqref="AG5:AG10">
    <cfRule type="dataBar" priority="25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{15FE6D65-ECEC-46F2-A3C1-0385AFBC7710}</x14:id>
        </ext>
      </extLst>
    </cfRule>
  </conditionalFormatting>
  <pageMargins left="0.25" right="0.25" top="0.75" bottom="0.75" header="0.3" footer="0.3"/>
  <pageSetup scale="80" fitToHeight="0" orientation="landscape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FE6D65-ECEC-46F2-A3C1-0385AFBC7710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749992370372631"/>
    <pageSetUpPr fitToPage="1"/>
  </sheetPr>
  <dimension ref="A1:AH12"/>
  <sheetViews>
    <sheetView showGridLines="0" workbookViewId="0">
      <selection activeCell="A4" sqref="A4"/>
    </sheetView>
  </sheetViews>
  <sheetFormatPr baseColWidth="10" defaultColWidth="9.125" defaultRowHeight="15" customHeight="1" x14ac:dyDescent="0.25"/>
  <cols>
    <col min="1" max="1" width="24.375" style="15" customWidth="1"/>
    <col min="2" max="32" width="4" style="13" customWidth="1"/>
    <col min="33" max="33" width="20.5" style="12" customWidth="1"/>
    <col min="34" max="34" width="9.125" style="13"/>
    <col min="35" max="16384" width="9.125" style="14"/>
  </cols>
  <sheetData>
    <row r="1" spans="1:34" s="1" customFormat="1" ht="50.25" customHeight="1" x14ac:dyDescent="0.25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3" t="s">
        <v>44</v>
      </c>
      <c r="B2" s="61" t="s">
        <v>64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6">
        <f>CalendrierAnnée</f>
        <v>2023</v>
      </c>
    </row>
    <row r="3" spans="1:34" ht="15.75" customHeight="1" x14ac:dyDescent="0.25">
      <c r="A3" s="63"/>
      <c r="B3" s="25" t="str">
        <f>TEXT(WEEKDAY(DATE(CalendrierAnnée,8,1),1),"jjj")</f>
        <v>mar</v>
      </c>
      <c r="C3" s="26" t="str">
        <f>TEXT(WEEKDAY(DATE(CalendrierAnnée,8,2),1),"jjj")</f>
        <v>mer</v>
      </c>
      <c r="D3" s="26" t="str">
        <f>TEXT(WEEKDAY(DATE(CalendrierAnnée,8,3),1),"jjj")</f>
        <v>jeu</v>
      </c>
      <c r="E3" s="26" t="str">
        <f>TEXT(WEEKDAY(DATE(CalendrierAnnée,8,4),1),"jjj")</f>
        <v>ven</v>
      </c>
      <c r="F3" s="26" t="str">
        <f>TEXT(WEEKDAY(DATE(CalendrierAnnée,8,5),1),"jjj")</f>
        <v>sam</v>
      </c>
      <c r="G3" s="26" t="str">
        <f>TEXT(WEEKDAY(DATE(CalendrierAnnée,8,6),1),"jjj")</f>
        <v>dim</v>
      </c>
      <c r="H3" s="26" t="str">
        <f>TEXT(WEEKDAY(DATE(CalendrierAnnée,8,7),1),"jjj")</f>
        <v>lun</v>
      </c>
      <c r="I3" s="26" t="str">
        <f>TEXT(WEEKDAY(DATE(CalendrierAnnée,8,8),1),"jjj")</f>
        <v>mar</v>
      </c>
      <c r="J3" s="26" t="str">
        <f>TEXT(WEEKDAY(DATE(CalendrierAnnée,8,9),1),"jjj")</f>
        <v>mer</v>
      </c>
      <c r="K3" s="26" t="str">
        <f>TEXT(WEEKDAY(DATE(CalendrierAnnée,8,10),1),"jjj")</f>
        <v>jeu</v>
      </c>
      <c r="L3" s="26" t="str">
        <f>TEXT(WEEKDAY(DATE(CalendrierAnnée,8,11),1),"jjj")</f>
        <v>ven</v>
      </c>
      <c r="M3" s="26" t="str">
        <f>TEXT(WEEKDAY(DATE(CalendrierAnnée,8,12),1),"jjj")</f>
        <v>sam</v>
      </c>
      <c r="N3" s="26" t="str">
        <f>TEXT(WEEKDAY(DATE(CalendrierAnnée,8,13),1),"jjj")</f>
        <v>dim</v>
      </c>
      <c r="O3" s="26" t="str">
        <f>TEXT(WEEKDAY(DATE(CalendrierAnnée,8,14),1),"jjj")</f>
        <v>lun</v>
      </c>
      <c r="P3" s="26" t="str">
        <f>TEXT(WEEKDAY(DATE(CalendrierAnnée,8,15),1),"jjj")</f>
        <v>mar</v>
      </c>
      <c r="Q3" s="26" t="str">
        <f>TEXT(WEEKDAY(DATE(CalendrierAnnée,8,16),1),"jjj")</f>
        <v>mer</v>
      </c>
      <c r="R3" s="26" t="str">
        <f>TEXT(WEEKDAY(DATE(CalendrierAnnée,8,17),1),"jjj")</f>
        <v>jeu</v>
      </c>
      <c r="S3" s="26" t="str">
        <f>TEXT(WEEKDAY(DATE(CalendrierAnnée,8,18),1),"jjj")</f>
        <v>ven</v>
      </c>
      <c r="T3" s="26" t="str">
        <f>TEXT(WEEKDAY(DATE(CalendrierAnnée,8,19),1),"jjj")</f>
        <v>sam</v>
      </c>
      <c r="U3" s="26" t="str">
        <f>TEXT(WEEKDAY(DATE(CalendrierAnnée,8,20),1),"jjj")</f>
        <v>dim</v>
      </c>
      <c r="V3" s="26" t="str">
        <f>TEXT(WEEKDAY(DATE(CalendrierAnnée,8,21),1),"jjj")</f>
        <v>lun</v>
      </c>
      <c r="W3" s="26" t="str">
        <f>TEXT(WEEKDAY(DATE(CalendrierAnnée,8,22),1),"jjj")</f>
        <v>mar</v>
      </c>
      <c r="X3" s="26" t="str">
        <f>TEXT(WEEKDAY(DATE(CalendrierAnnée,8,23),1),"jjj")</f>
        <v>mer</v>
      </c>
      <c r="Y3" s="26" t="str">
        <f>TEXT(WEEKDAY(DATE(CalendrierAnnée,8,24),1),"jjj")</f>
        <v>jeu</v>
      </c>
      <c r="Z3" s="26" t="str">
        <f>TEXT(WEEKDAY(DATE(CalendrierAnnée,8,25),1),"jjj")</f>
        <v>ven</v>
      </c>
      <c r="AA3" s="26" t="str">
        <f>TEXT(WEEKDAY(DATE(CalendrierAnnée,8,26),1),"jjj")</f>
        <v>sam</v>
      </c>
      <c r="AB3" s="26" t="str">
        <f>TEXT(WEEKDAY(DATE(CalendrierAnnée,8,27),1),"jjj")</f>
        <v>dim</v>
      </c>
      <c r="AC3" s="26" t="str">
        <f>TEXT(WEEKDAY(DATE(CalendrierAnnée,8,28),1),"jjj")</f>
        <v>lun</v>
      </c>
      <c r="AD3" s="26" t="str">
        <f>TEXT(WEEKDAY(DATE(CalendrierAnnée,8,29),1),"jjj")</f>
        <v>mar</v>
      </c>
      <c r="AE3" s="26" t="str">
        <f>TEXT(WEEKDAY(DATE(CalendrierAnnée,8,30),1),"jjj")</f>
        <v>mer</v>
      </c>
      <c r="AF3" s="26" t="str">
        <f>TEXT(WEEKDAY(DATE(CalendrierAnnée,8,31),1),"jjj")</f>
        <v>jeu</v>
      </c>
      <c r="AG3" s="66"/>
    </row>
    <row r="4" spans="1:34" s="1" customFormat="1" ht="14.45" x14ac:dyDescent="0.3">
      <c r="A4" s="45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2"/>
    </row>
    <row r="5" spans="1:34" s="1" customFormat="1" x14ac:dyDescent="0.25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COUNTA(tblAoût[[#This Row],[1]:[29]])</f>
        <v>0</v>
      </c>
      <c r="AH5" s="2"/>
    </row>
    <row r="6" spans="1:34" s="1" customFormat="1" ht="14.45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">
        <f>COUNTA(tblAoût[[#This Row],[1]:[29]])</f>
        <v>0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1">
        <f>COUNTA(tblAoût[[#This Row],[1]:[29]])</f>
        <v>0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COUNTA(tblAoût[[#This Row],[1]:[29]])</f>
        <v>0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COUNTA(tblAoût[[#This Row],[1]:[29]])</f>
        <v>0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/>
      <c r="AD10" s="41"/>
      <c r="AE10" s="41"/>
      <c r="AF10" s="41"/>
      <c r="AG10" s="11">
        <f>COUNTA(tblAoût[[#This Row],[1]:[29]])</f>
        <v>0</v>
      </c>
    </row>
    <row r="11" spans="1:34" ht="15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  <cfRule type="expression" dxfId="24" priority="2" stopIfTrue="1">
      <formula>B5=CléPersonnalisée2</formula>
    </cfRule>
    <cfRule type="expression" dxfId="23" priority="3" stopIfTrue="1">
      <formula>B5=CléPersonnalisée1</formula>
    </cfRule>
    <cfRule type="expression" dxfId="22" priority="4" stopIfTrue="1">
      <formula>B5=CléMaladie</formula>
    </cfRule>
    <cfRule type="expression" dxfId="21" priority="5" stopIfTrue="1">
      <formula>B5=CléPersonnelle</formula>
    </cfRule>
    <cfRule type="expression" dxfId="20" priority="6" stopIfTrue="1">
      <formula>B5=CléCongés</formula>
    </cfRule>
  </conditionalFormatting>
  <conditionalFormatting sqref="AG5:AG10">
    <cfRule type="dataBar" priority="26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{FC085EDD-0205-4B5F-B398-CECC5AA8DBEE}</x14:id>
        </ext>
      </extLst>
    </cfRule>
  </conditionalFormatting>
  <pageMargins left="0.25" right="0.25" top="0.75" bottom="0.75" header="0.3" footer="0.3"/>
  <pageSetup scale="80" fitToHeight="0" orientation="landscape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C085EDD-0205-4B5F-B398-CECC5AA8DBEE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499984740745262"/>
    <pageSetUpPr fitToPage="1"/>
  </sheetPr>
  <dimension ref="A1:AH19"/>
  <sheetViews>
    <sheetView showGridLines="0" tabSelected="1" workbookViewId="0">
      <selection activeCell="J20" sqref="J20"/>
    </sheetView>
  </sheetViews>
  <sheetFormatPr baseColWidth="10" defaultColWidth="9.125" defaultRowHeight="15" customHeight="1" x14ac:dyDescent="0.25"/>
  <cols>
    <col min="1" max="1" width="24.375" style="15" customWidth="1"/>
    <col min="2" max="32" width="4" style="13" customWidth="1"/>
    <col min="33" max="33" width="20.5" style="12" customWidth="1"/>
    <col min="34" max="34" width="9.125" style="13"/>
    <col min="35" max="16384" width="9.125" style="14"/>
  </cols>
  <sheetData>
    <row r="1" spans="1:34" s="1" customFormat="1" ht="50.25" customHeight="1" x14ac:dyDescent="0.25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3" t="s">
        <v>45</v>
      </c>
      <c r="B2" s="61" t="s">
        <v>54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6">
        <f>CalendrierAnnée</f>
        <v>2023</v>
      </c>
    </row>
    <row r="3" spans="1:34" ht="15.75" customHeight="1" x14ac:dyDescent="0.25">
      <c r="A3" s="63"/>
      <c r="B3" s="25" t="str">
        <f>TEXT(WEEKDAY(DATE(CalendrierAnnée,9,1),1),"jjj")</f>
        <v>ven</v>
      </c>
      <c r="C3" s="26" t="str">
        <f>TEXT(WEEKDAY(DATE(CalendrierAnnée,9,2),1),"jjj")</f>
        <v>sam</v>
      </c>
      <c r="D3" s="26" t="str">
        <f>TEXT(WEEKDAY(DATE(CalendrierAnnée,9,3),1),"jjj")</f>
        <v>dim</v>
      </c>
      <c r="E3" s="26" t="str">
        <f>TEXT(WEEKDAY(DATE(CalendrierAnnée,9,4),1),"jjj")</f>
        <v>lun</v>
      </c>
      <c r="F3" s="26" t="str">
        <f>TEXT(WEEKDAY(DATE(CalendrierAnnée,9,5),1),"jjj")</f>
        <v>mar</v>
      </c>
      <c r="G3" s="26" t="str">
        <f>TEXT(WEEKDAY(DATE(CalendrierAnnée,9,6),1),"jjj")</f>
        <v>mer</v>
      </c>
      <c r="H3" s="26" t="str">
        <f>TEXT(WEEKDAY(DATE(CalendrierAnnée,9,7),1),"jjj")</f>
        <v>jeu</v>
      </c>
      <c r="I3" s="26" t="str">
        <f>TEXT(WEEKDAY(DATE(CalendrierAnnée,9,8),1),"jjj")</f>
        <v>ven</v>
      </c>
      <c r="J3" s="26" t="str">
        <f>TEXT(WEEKDAY(DATE(CalendrierAnnée,9,9),1),"jjj")</f>
        <v>sam</v>
      </c>
      <c r="K3" s="26" t="str">
        <f>TEXT(WEEKDAY(DATE(CalendrierAnnée,9,10),1),"jjj")</f>
        <v>dim</v>
      </c>
      <c r="L3" s="26" t="str">
        <f>TEXT(WEEKDAY(DATE(CalendrierAnnée,9,11),1),"jjj")</f>
        <v>lun</v>
      </c>
      <c r="M3" s="26" t="str">
        <f>TEXT(WEEKDAY(DATE(CalendrierAnnée,9,12),1),"jjj")</f>
        <v>mar</v>
      </c>
      <c r="N3" s="26" t="str">
        <f>TEXT(WEEKDAY(DATE(CalendrierAnnée,9,13),1),"jjj")</f>
        <v>mer</v>
      </c>
      <c r="O3" s="26" t="str">
        <f>TEXT(WEEKDAY(DATE(CalendrierAnnée,9,14),1),"jjj")</f>
        <v>jeu</v>
      </c>
      <c r="P3" s="26" t="str">
        <f>TEXT(WEEKDAY(DATE(CalendrierAnnée,9,15),1),"jjj")</f>
        <v>ven</v>
      </c>
      <c r="Q3" s="26" t="str">
        <f>TEXT(WEEKDAY(DATE(CalendrierAnnée,9,16),1),"jjj")</f>
        <v>sam</v>
      </c>
      <c r="R3" s="26" t="str">
        <f>TEXT(WEEKDAY(DATE(CalendrierAnnée,9,17),1),"jjj")</f>
        <v>dim</v>
      </c>
      <c r="S3" s="26" t="str">
        <f>TEXT(WEEKDAY(DATE(CalendrierAnnée,9,18),1),"jjj")</f>
        <v>lun</v>
      </c>
      <c r="T3" s="26" t="str">
        <f>TEXT(WEEKDAY(DATE(CalendrierAnnée,9,19),1),"jjj")</f>
        <v>mar</v>
      </c>
      <c r="U3" s="26" t="str">
        <f>TEXT(WEEKDAY(DATE(CalendrierAnnée,9,20),1),"jjj")</f>
        <v>mer</v>
      </c>
      <c r="V3" s="26" t="str">
        <f>TEXT(WEEKDAY(DATE(CalendrierAnnée,9,21),1),"jjj")</f>
        <v>jeu</v>
      </c>
      <c r="W3" s="26" t="str">
        <f>TEXT(WEEKDAY(DATE(CalendrierAnnée,9,22),1),"jjj")</f>
        <v>ven</v>
      </c>
      <c r="X3" s="26" t="str">
        <f>TEXT(WEEKDAY(DATE(CalendrierAnnée,9,23),1),"jjj")</f>
        <v>sam</v>
      </c>
      <c r="Y3" s="26" t="str">
        <f>TEXT(WEEKDAY(DATE(CalendrierAnnée,9,24),1),"jjj")</f>
        <v>dim</v>
      </c>
      <c r="Z3" s="26" t="str">
        <f>TEXT(WEEKDAY(DATE(CalendrierAnnée,9,25),1),"jjj")</f>
        <v>lun</v>
      </c>
      <c r="AA3" s="26" t="str">
        <f>TEXT(WEEKDAY(DATE(CalendrierAnnée,9,26),1),"jjj")</f>
        <v>mar</v>
      </c>
      <c r="AB3" s="26" t="str">
        <f>TEXT(WEEKDAY(DATE(CalendrierAnnée,9,27),1),"jjj")</f>
        <v>mer</v>
      </c>
      <c r="AC3" s="26" t="str">
        <f>TEXT(WEEKDAY(DATE(CalendrierAnnée,9,28),1),"jjj")</f>
        <v>jeu</v>
      </c>
      <c r="AD3" s="26" t="str">
        <f>TEXT(WEEKDAY(DATE(CalendrierAnnée,9,29),1),"jjj")</f>
        <v>ven</v>
      </c>
      <c r="AE3" s="26" t="str">
        <f>TEXT(WEEKDAY(DATE(CalendrierAnnée,9,30),1),"jjj")</f>
        <v>sam</v>
      </c>
      <c r="AF3" s="26"/>
      <c r="AG3" s="66"/>
    </row>
    <row r="4" spans="1:34" s="1" customFormat="1" ht="14.45" x14ac:dyDescent="0.3">
      <c r="A4" s="45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33</v>
      </c>
      <c r="AG4" s="7" t="s">
        <v>31</v>
      </c>
      <c r="AH4" s="2"/>
    </row>
    <row r="5" spans="1:34" s="1" customFormat="1" x14ac:dyDescent="0.25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 t="s">
        <v>32</v>
      </c>
      <c r="AA5" s="7"/>
      <c r="AB5" s="7"/>
      <c r="AC5" s="7"/>
      <c r="AD5" s="7"/>
      <c r="AE5" s="7"/>
      <c r="AF5" s="7"/>
      <c r="AG5" s="11">
        <f>COUNTA(tblSeptembre[[#This Row],[1]:[29]])</f>
        <v>1</v>
      </c>
      <c r="AH5" s="2"/>
    </row>
    <row r="6" spans="1:34" s="1" customFormat="1" ht="14.45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 t="s">
        <v>62</v>
      </c>
      <c r="AA6" s="7" t="s">
        <v>62</v>
      </c>
      <c r="AB6" s="7" t="s">
        <v>62</v>
      </c>
      <c r="AC6" s="7" t="s">
        <v>62</v>
      </c>
      <c r="AD6" s="7" t="s">
        <v>62</v>
      </c>
      <c r="AE6" s="7"/>
      <c r="AF6" s="7"/>
      <c r="AG6" s="11">
        <f>COUNTA(tblSeptembre[[#This Row],[1]:[29]])</f>
        <v>5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 t="s">
        <v>62</v>
      </c>
      <c r="AA7" s="7" t="s">
        <v>62</v>
      </c>
      <c r="AB7" s="7" t="s">
        <v>62</v>
      </c>
      <c r="AC7" s="7" t="s">
        <v>62</v>
      </c>
      <c r="AD7" s="7" t="s">
        <v>62</v>
      </c>
      <c r="AE7" s="7"/>
      <c r="AF7" s="7"/>
      <c r="AG7" s="11">
        <f>COUNTA(tblSeptembre[[#This Row],[1]:[29]])</f>
        <v>5</v>
      </c>
    </row>
    <row r="8" spans="1:34" ht="15" customHeight="1" x14ac:dyDescent="0.25">
      <c r="A8" s="43" t="s">
        <v>52</v>
      </c>
      <c r="B8" s="7"/>
      <c r="C8" s="7" t="s">
        <v>32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COUNTA(tblSeptembre[[#This Row],[1]:[29]])</f>
        <v>1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COUNTA(tblSeptembre[[#This Row],[1]:[29]])</f>
        <v>0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/>
      <c r="AD10" s="41"/>
      <c r="AE10" s="41"/>
      <c r="AF10" s="41"/>
      <c r="AG10" s="11">
        <f>COUNTA(tblSeptembre[[#This Row],[1]:[29]])</f>
        <v>0</v>
      </c>
    </row>
    <row r="11" spans="1:34" ht="15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3" spans="1:34" ht="15" customHeight="1" x14ac:dyDescent="0.25">
      <c r="AB13" s="14"/>
      <c r="AC13" s="14"/>
      <c r="AD13" s="14"/>
      <c r="AE13" s="14"/>
      <c r="AF13" s="14"/>
      <c r="AG13" s="14"/>
      <c r="AH13" s="14"/>
    </row>
    <row r="14" spans="1:34" ht="15" customHeight="1" x14ac:dyDescent="0.25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D16" s="14"/>
      <c r="E16" s="14"/>
      <c r="F16" s="14"/>
      <c r="G16" s="14"/>
      <c r="H16" s="14"/>
      <c r="I16" s="14"/>
      <c r="J16" s="14"/>
      <c r="K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3:34" ht="15" customHeight="1" x14ac:dyDescent="0.25">
      <c r="C17" s="60" t="s">
        <v>83</v>
      </c>
      <c r="D17" s="14"/>
      <c r="E17" s="14"/>
      <c r="F17" s="14"/>
      <c r="G17" s="14"/>
      <c r="H17" s="14"/>
      <c r="I17" s="14"/>
      <c r="J17" s="14"/>
      <c r="K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49" t="s">
        <v>66</v>
      </c>
      <c r="AA17" s="14"/>
      <c r="AB17" s="14"/>
      <c r="AC17" s="14"/>
      <c r="AD17" s="14"/>
      <c r="AE17" s="14"/>
      <c r="AF17" s="14"/>
      <c r="AG17" s="14"/>
      <c r="AH17" s="14"/>
    </row>
    <row r="18" spans="3:34" ht="15" customHeight="1" x14ac:dyDescent="0.25">
      <c r="D18" s="14"/>
      <c r="E18" s="14"/>
      <c r="F18" s="14"/>
      <c r="G18" s="14"/>
      <c r="H18" s="14"/>
      <c r="I18" s="14"/>
      <c r="J18" s="14"/>
      <c r="K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49"/>
      <c r="AA18" s="49"/>
      <c r="AB18" s="49"/>
      <c r="AC18" s="49"/>
      <c r="AD18" s="49"/>
      <c r="AE18" s="14"/>
      <c r="AF18" s="14"/>
      <c r="AG18" s="14"/>
      <c r="AH18" s="14"/>
    </row>
    <row r="19" spans="3:34" ht="15" customHeight="1" x14ac:dyDescent="0.25">
      <c r="Z19" s="51"/>
      <c r="AA19" s="51" t="s">
        <v>79</v>
      </c>
      <c r="AB19" s="51"/>
      <c r="AC19" s="51"/>
      <c r="AD19" s="51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  <cfRule type="expression" dxfId="19" priority="2" stopIfTrue="1">
      <formula>B5=CléPersonnalisée2</formula>
    </cfRule>
    <cfRule type="expression" dxfId="18" priority="3" stopIfTrue="1">
      <formula>B5=CléPersonnalisée1</formula>
    </cfRule>
    <cfRule type="expression" dxfId="17" priority="4" stopIfTrue="1">
      <formula>B5=CléMaladie</formula>
    </cfRule>
    <cfRule type="expression" dxfId="16" priority="5" stopIfTrue="1">
      <formula>B5=CléPersonnelle</formula>
    </cfRule>
    <cfRule type="expression" dxfId="15" priority="6" stopIfTrue="1">
      <formula>B5=CléCongés</formula>
    </cfRule>
  </conditionalFormatting>
  <conditionalFormatting sqref="AG5:AG10">
    <cfRule type="dataBar" priority="27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{1477F465-23A5-4E7F-BDEC-11297175FB9A}</x14:id>
        </ext>
      </extLst>
    </cfRule>
  </conditionalFormatting>
  <pageMargins left="0.25" right="0.25" top="0.75" bottom="0.75" header="0.3" footer="0.3"/>
  <pageSetup paperSize="8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477F465-23A5-4E7F-BDEC-11297175FB9A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E2F1D0E8E87468B289CB57281B996" ma:contentTypeVersion="1" ma:contentTypeDescription="Create a new document." ma:contentTypeScope="" ma:versionID="62a345c190c3e02e35f6075a6cd279fe">
  <xsd:schema xmlns:xsd="http://www.w3.org/2001/XMLSchema" xmlns:xs="http://www.w3.org/2001/XMLSchema" xmlns:p="http://schemas.microsoft.com/office/2006/metadata/properties" xmlns:ns2="aac074f3-af53-40eb-acd1-e8ca9658e9e1" targetNamespace="http://schemas.microsoft.com/office/2006/metadata/properties" ma:root="true" ma:fieldsID="6e89e516250c3f4b948741447e1442ad" ns2:_="">
    <xsd:import namespace="aac074f3-af53-40eb-acd1-e8ca9658e9e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074f3-af53-40eb-acd1-e8ca9658e9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298525-5753-4468-AB25-522022B2FC80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ac074f3-af53-40eb-acd1-e8ca9658e9e1"/>
  </ds:schemaRefs>
</ds:datastoreItem>
</file>

<file path=customXml/itemProps2.xml><?xml version="1.0" encoding="utf-8"?>
<ds:datastoreItem xmlns:ds="http://schemas.openxmlformats.org/officeDocument/2006/customXml" ds:itemID="{5B806531-3A3B-4F3D-B626-5CC4D92F8D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282CFA-8FBC-4C9E-B212-C3DCBFFBB0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c074f3-af53-40eb-acd1-e8ca9658e9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23</vt:i4>
      </vt:variant>
    </vt:vector>
  </HeadingPairs>
  <TitlesOfParts>
    <vt:vector size="35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CalendrierAnnée</vt:lpstr>
      <vt:lpstr>CléCongés</vt:lpstr>
      <vt:lpstr>CléMaladie</vt:lpstr>
      <vt:lpstr>CléPersonnalisée1</vt:lpstr>
      <vt:lpstr>CléPersonnalisée2</vt:lpstr>
      <vt:lpstr>CléPersonnelle</vt:lpstr>
      <vt:lpstr>ÉtiquetteCléCongés</vt:lpstr>
      <vt:lpstr>ÉtiquetteCléMaladie</vt:lpstr>
      <vt:lpstr>ÉtiquetteCléPersonnalisée1</vt:lpstr>
      <vt:lpstr>ÉtiquetteCléPersonnalisée2</vt:lpstr>
      <vt:lpstr>ÉtiquetteCléPersonnelle</vt:lpstr>
      <vt:lpstr>Août!NomMois</vt:lpstr>
      <vt:lpstr>Avril!NomMois</vt:lpstr>
      <vt:lpstr>Décembre!NomMois</vt:lpstr>
      <vt:lpstr>Février!NomMois</vt:lpstr>
      <vt:lpstr>Janvier!NomMois</vt:lpstr>
      <vt:lpstr>Juillet!NomMois</vt:lpstr>
      <vt:lpstr>Juin!NomMois</vt:lpstr>
      <vt:lpstr>Mai!NomMois</vt:lpstr>
      <vt:lpstr>Mars!NomMois</vt:lpstr>
      <vt:lpstr>Novembre!NomMois</vt:lpstr>
      <vt:lpstr>Octobre!NomMois</vt:lpstr>
      <vt:lpstr>Septembre!NomMois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2014-08-06T14:30:25Z</dcterms:created>
  <dcterms:modified xsi:type="dcterms:W3CDTF">2023-09-06T13:09:48Z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0x010100B03E2F1D0E8E87468B289CB57281B996</vt:lpwstr>
  </property>
</Properties>
</file>